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oji Dokumenti\Desktop\"/>
    </mc:Choice>
  </mc:AlternateContent>
  <bookViews>
    <workbookView xWindow="0" yWindow="0" windowWidth="28800" windowHeight="1233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H26" i="1" s="1"/>
  <c r="I62" i="1" l="1"/>
  <c r="I38" i="1"/>
  <c r="I31" i="1"/>
  <c r="I59" i="1"/>
  <c r="I58" i="1"/>
  <c r="I57" i="1"/>
  <c r="I55" i="1"/>
  <c r="I54" i="1"/>
  <c r="I53" i="1"/>
  <c r="I52" i="1"/>
  <c r="I51" i="1"/>
  <c r="I50" i="1"/>
  <c r="I48" i="1"/>
  <c r="I47" i="1"/>
  <c r="I46" i="1"/>
  <c r="I45" i="1"/>
  <c r="I44" i="1"/>
  <c r="I43" i="1"/>
  <c r="I42" i="1"/>
  <c r="I41" i="1"/>
  <c r="I40" i="1"/>
  <c r="I39" i="1"/>
  <c r="I37" i="1"/>
  <c r="I36" i="1"/>
  <c r="I35" i="1"/>
  <c r="I34" i="1"/>
  <c r="I33" i="1"/>
  <c r="I32" i="1"/>
  <c r="I30" i="1"/>
  <c r="H32" i="1"/>
  <c r="H33" i="1"/>
  <c r="H35" i="1"/>
  <c r="H41" i="1"/>
  <c r="H43" i="1"/>
  <c r="H44" i="1"/>
  <c r="H46" i="1"/>
  <c r="J46" i="1" s="1"/>
  <c r="H47" i="1"/>
  <c r="H49" i="1"/>
  <c r="J49" i="1" s="1"/>
  <c r="H50" i="1"/>
  <c r="H51" i="1"/>
  <c r="H52" i="1"/>
  <c r="H54" i="1"/>
  <c r="H55" i="1"/>
  <c r="H56" i="1"/>
  <c r="J56" i="1" s="1"/>
  <c r="H57" i="1"/>
  <c r="H58" i="1"/>
  <c r="J58" i="1" s="1"/>
  <c r="H59" i="1"/>
  <c r="H60" i="1"/>
  <c r="J60" i="1" s="1"/>
  <c r="H61" i="1"/>
  <c r="J61" i="1" s="1"/>
  <c r="H63" i="1"/>
  <c r="J63" i="1" s="1"/>
  <c r="F53" i="1"/>
  <c r="H53" i="1" s="1"/>
  <c r="F48" i="1"/>
  <c r="H48" i="1" s="1"/>
  <c r="F40" i="1"/>
  <c r="H40" i="1" s="1"/>
  <c r="F37" i="1"/>
  <c r="F36" i="1"/>
  <c r="G64" i="1"/>
  <c r="E37" i="1"/>
  <c r="E36" i="1"/>
  <c r="E64" i="1" s="1"/>
  <c r="D45" i="1"/>
  <c r="H45" i="1" s="1"/>
  <c r="D43" i="1"/>
  <c r="D42" i="1"/>
  <c r="H42" i="1" s="1"/>
  <c r="J42" i="1" s="1"/>
  <c r="D39" i="1"/>
  <c r="H39" i="1" s="1"/>
  <c r="D38" i="1"/>
  <c r="H38" i="1" s="1"/>
  <c r="D37" i="1"/>
  <c r="D36" i="1"/>
  <c r="D62" i="1"/>
  <c r="H62" i="1" s="1"/>
  <c r="J62" i="1" s="1"/>
  <c r="D34" i="1"/>
  <c r="H34" i="1" s="1"/>
  <c r="D31" i="1"/>
  <c r="H30" i="1"/>
  <c r="I22" i="1"/>
  <c r="I20" i="1"/>
  <c r="I14" i="1"/>
  <c r="I18" i="1"/>
  <c r="F25" i="1"/>
  <c r="F27" i="1" s="1"/>
  <c r="G25" i="1"/>
  <c r="G27" i="1" s="1"/>
  <c r="D22" i="1"/>
  <c r="H20" i="1"/>
  <c r="E18" i="1"/>
  <c r="E25" i="1" s="1"/>
  <c r="E27" i="1" s="1"/>
  <c r="D14" i="1"/>
  <c r="J35" i="1" l="1"/>
  <c r="J53" i="1"/>
  <c r="J44" i="1"/>
  <c r="J57" i="1"/>
  <c r="J39" i="1"/>
  <c r="F64" i="1"/>
  <c r="J40" i="1"/>
  <c r="J43" i="1"/>
  <c r="J32" i="1"/>
  <c r="J54" i="1"/>
  <c r="J59" i="1"/>
  <c r="J48" i="1"/>
  <c r="J47" i="1"/>
  <c r="J50" i="1"/>
  <c r="H36" i="1"/>
  <c r="J36" i="1" s="1"/>
  <c r="H37" i="1"/>
  <c r="J37" i="1" s="1"/>
  <c r="D25" i="1"/>
  <c r="D27" i="1" s="1"/>
  <c r="D64" i="1"/>
  <c r="J41" i="1"/>
  <c r="I25" i="1"/>
  <c r="I27" i="1" s="1"/>
  <c r="J38" i="1"/>
  <c r="J45" i="1"/>
  <c r="J55" i="1"/>
  <c r="J51" i="1"/>
  <c r="H31" i="1"/>
  <c r="J31" i="1" s="1"/>
  <c r="J34" i="1"/>
  <c r="J33" i="1"/>
  <c r="J52" i="1"/>
  <c r="J20" i="1"/>
  <c r="I64" i="1"/>
  <c r="J30" i="1"/>
  <c r="H24" i="1"/>
  <c r="J24" i="1" s="1"/>
  <c r="H22" i="1"/>
  <c r="J22" i="1" s="1"/>
  <c r="H21" i="1"/>
  <c r="J21" i="1" s="1"/>
  <c r="H19" i="1"/>
  <c r="J19" i="1" s="1"/>
  <c r="H18" i="1"/>
  <c r="J18" i="1" s="1"/>
  <c r="H17" i="1"/>
  <c r="J17" i="1" s="1"/>
  <c r="H15" i="1"/>
  <c r="J15" i="1" s="1"/>
  <c r="H14" i="1"/>
  <c r="J14" i="1" s="1"/>
  <c r="H64" i="1" l="1"/>
  <c r="J64" i="1" s="1"/>
  <c r="H25" i="1"/>
  <c r="I66" i="1"/>
  <c r="I68" i="1" s="1"/>
  <c r="J25" i="1" l="1"/>
  <c r="H27" i="1"/>
</calcChain>
</file>

<file path=xl/sharedStrings.xml><?xml version="1.0" encoding="utf-8"?>
<sst xmlns="http://schemas.openxmlformats.org/spreadsheetml/2006/main" count="80" uniqueCount="77">
  <si>
    <t xml:space="preserve">SREDNJA ŠKOLA BEDEKOVČINA </t>
  </si>
  <si>
    <t>Ljudevita Gaja 1</t>
  </si>
  <si>
    <t>OPĆI PRIHODI I PRIMICI</t>
  </si>
  <si>
    <t>PRIH. POS. NAMJENE</t>
  </si>
  <si>
    <t>VLASTITI PRIHODI</t>
  </si>
  <si>
    <t>NEF. IMOVINA</t>
  </si>
  <si>
    <t>UKUPNO PLAN</t>
  </si>
  <si>
    <t>IZVRŠENJE</t>
  </si>
  <si>
    <t xml:space="preserve">INDEKS </t>
  </si>
  <si>
    <t>PRIHODI POSLOVANJA</t>
  </si>
  <si>
    <t>Pomoći pr. kor. iz pr. koji im nije nadležan</t>
  </si>
  <si>
    <t>Pomoći temeljem prijenosa EU sredstava</t>
  </si>
  <si>
    <t>Prihodi od nefinancijske imovine</t>
  </si>
  <si>
    <t>Prihodi po posebnim propisima</t>
  </si>
  <si>
    <t>Donacije od pravnih i fizičkih osoba</t>
  </si>
  <si>
    <t xml:space="preserve">Prihodi iz nadležnog proračuna </t>
  </si>
  <si>
    <t>Ostali prihodi</t>
  </si>
  <si>
    <t>Prihodi od prodaje građevinskih objekata</t>
  </si>
  <si>
    <t>UKUPNO</t>
  </si>
  <si>
    <t>RASHODI POSLOVANJA</t>
  </si>
  <si>
    <t>Ostali rashodi za zaposlene</t>
  </si>
  <si>
    <t>Preneseni višak iz prethodnih godina</t>
  </si>
  <si>
    <t>Obrazloženje izvještaja o izvršenju financijskog plana</t>
  </si>
  <si>
    <t xml:space="preserve">i dopunska sredstva iz proračuna Krapinsko-zagorske županije. U prihode posebne namjene ulaze prihodi od sufinanciranja troškova smještaja učenika u </t>
  </si>
  <si>
    <t xml:space="preserve">učeničkom domu, participacije školarina i prihodi od izrade duplikata svjedodžbi. Vlastiti prihodi odnose se na prihode od pružanja usluga (obrazovanje </t>
  </si>
  <si>
    <t>odraslih, laboratorij za ispitivanje materijala, pedološki labratorij, najam prostora škole) i prihode od zakupa zemljišta. Prihodi od nefinancijske imovine su</t>
  </si>
  <si>
    <t>prihodi od stanova.</t>
  </si>
  <si>
    <t>-</t>
  </si>
  <si>
    <t>Voditeljica računovodstva:</t>
  </si>
  <si>
    <t>Ivana Spevec, mag.oec.</t>
  </si>
  <si>
    <t>Ravnateljica:</t>
  </si>
  <si>
    <t>Vera Hrvoj, univ.spec.pol.</t>
  </si>
  <si>
    <t>Bedekovčina, 11.7.2022.</t>
  </si>
  <si>
    <t>IZVJEŠTAJ O IZVRŠENJU FINANCIJSKOG PLANA ZA 1.1.-30.6.2022. ZA SREDNJU ŠKOLU BEDEKOVČINA I UČENIČKI DOM</t>
  </si>
  <si>
    <t>Naknade tr. osobama izvan rad. odnosa</t>
  </si>
  <si>
    <t>Prih. od prodaje proizv. i robe</t>
  </si>
  <si>
    <t>Prih. od pruž. usluga</t>
  </si>
  <si>
    <t>Kamate na depozite po viđenju</t>
  </si>
  <si>
    <t>Naknade za prijevoz</t>
  </si>
  <si>
    <t>Seminari, tečajevi, str. Ispiti</t>
  </si>
  <si>
    <t>Uredski materijal i ost. mat. rashodi</t>
  </si>
  <si>
    <t>Materijal i sirovine</t>
  </si>
  <si>
    <t>Energija</t>
  </si>
  <si>
    <t>Usluge telefona, pošte i prijevoza</t>
  </si>
  <si>
    <t>Komunalne usluge</t>
  </si>
  <si>
    <t>Zakupnine i najamnine</t>
  </si>
  <si>
    <t>Računalne usluge</t>
  </si>
  <si>
    <t>Bankarske usluge i usluge platnog prometa</t>
  </si>
  <si>
    <t>Uređaji, strojevi i oprema za ost. namjene</t>
  </si>
  <si>
    <t>Plaće za redovan rad</t>
  </si>
  <si>
    <t>Doprinosi za zdravstveno osiguranje</t>
  </si>
  <si>
    <t>Službena putovanja</t>
  </si>
  <si>
    <t>Sitni inventar</t>
  </si>
  <si>
    <t>Služb., radna i zažt. odjeća i obuća</t>
  </si>
  <si>
    <t>Intelektualne i osobne usluge</t>
  </si>
  <si>
    <t>Ostale usluge</t>
  </si>
  <si>
    <t>Premije osiguranja</t>
  </si>
  <si>
    <t>Reprezentacija</t>
  </si>
  <si>
    <t>Pristojbe i naknade</t>
  </si>
  <si>
    <t>Troškovi sudskih postupaka</t>
  </si>
  <si>
    <t>Zatezne kamate</t>
  </si>
  <si>
    <t>Ostali građevinski objekti</t>
  </si>
  <si>
    <t>Zdravstvene i veterinarske usluge</t>
  </si>
  <si>
    <t>Mat. i dijelovi za tek. i inv. održavanje</t>
  </si>
  <si>
    <t>Usl. tek. i inv. održavanja</t>
  </si>
  <si>
    <t>Usl. promidžbe i informiranja</t>
  </si>
  <si>
    <t>Članarine</t>
  </si>
  <si>
    <t>Ostali nesp. rash. poslovanja</t>
  </si>
  <si>
    <t>Ulaganja u računalne programe</t>
  </si>
  <si>
    <t>49221 Bedekovčina</t>
  </si>
  <si>
    <t>Licence</t>
  </si>
  <si>
    <t>Višak/manjak prihoda za razdoblje 1.1.- 30.6.2022.</t>
  </si>
  <si>
    <t>Iz prethodnih godina</t>
  </si>
  <si>
    <t>Ukupno višak/manjak prihoda na dan 30.6.2022.</t>
  </si>
  <si>
    <t xml:space="preserve">od 1.128.790,79 kn dodamo preneseni višak iz prethodnih godina, ukupan višak prihoda raspoloživ u sljedećem razdoblju iznosi 1.815.539,21 kn. </t>
  </si>
  <si>
    <t xml:space="preserve">Za razdoblje od 1.1. do 30.6.2022. evidentirani su prihodi u iznosu od 11.928.871,47 kn i rashodi u iznosu od 13.057.662,26 kn. Kada dobivenom manjku </t>
  </si>
  <si>
    <t>Planirani prihodi i rashodi iskazani su prema izvorima financiranja. Opći prihodi i primici obuhvaćaju prihode iz državnog proračuna, decentralizirana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</si>
</sst>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Times New Roman"/>
      <family val="1"/>
      <charset val="238"/>
    </font>
    <font>
      <sz val="8"/>
      <color rgb="FFFF0000"/>
      <name val="Arial"/>
      <family val="2"/>
      <charset val="238"/>
    </font>
    <font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right"/>
    </xf>
    <xf numFmtId="0" fontId="5" fillId="0" borderId="1" xfId="1" applyFont="1" applyFill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Border="1"/>
    <xf numFmtId="0" fontId="3" fillId="0" borderId="1" xfId="0" applyFont="1" applyBorder="1" applyAlignment="1">
      <alignment horizontal="right"/>
    </xf>
    <xf numFmtId="0" fontId="6" fillId="0" borderId="1" xfId="2" applyFont="1" applyFill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4" fontId="7" fillId="0" borderId="1" xfId="0" applyNumberFormat="1" applyFont="1" applyBorder="1" applyAlignment="1">
      <alignment horizontal="right"/>
    </xf>
    <xf numFmtId="4" fontId="0" fillId="0" borderId="0" xfId="0" applyNumberFormat="1"/>
    <xf numFmtId="0" fontId="8" fillId="0" borderId="1" xfId="0" applyFont="1" applyBorder="1" applyAlignment="1">
      <alignment horizontal="center"/>
    </xf>
    <xf numFmtId="4" fontId="8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3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/>
    <xf numFmtId="0" fontId="5" fillId="2" borderId="1" xfId="3" applyFont="1" applyFill="1" applyBorder="1" applyAlignment="1">
      <alignment horizontal="left" vertical="center" wrapText="1"/>
    </xf>
    <xf numFmtId="4" fontId="5" fillId="2" borderId="1" xfId="0" applyNumberFormat="1" applyFont="1" applyFill="1" applyBorder="1"/>
    <xf numFmtId="4" fontId="9" fillId="2" borderId="1" xfId="0" applyNumberFormat="1" applyFont="1" applyFill="1" applyBorder="1"/>
    <xf numFmtId="0" fontId="6" fillId="2" borderId="1" xfId="4" applyFont="1" applyFill="1" applyBorder="1" applyAlignment="1">
      <alignment horizontal="left" wrapText="1"/>
    </xf>
    <xf numFmtId="0" fontId="0" fillId="2" borderId="0" xfId="0" applyFill="1"/>
    <xf numFmtId="0" fontId="2" fillId="2" borderId="1" xfId="0" applyFont="1" applyFill="1" applyBorder="1"/>
    <xf numFmtId="4" fontId="2" fillId="2" borderId="1" xfId="0" applyNumberFormat="1" applyFont="1" applyFill="1" applyBorder="1"/>
    <xf numFmtId="0" fontId="5" fillId="2" borderId="0" xfId="0" applyFont="1" applyFill="1" applyBorder="1"/>
    <xf numFmtId="0" fontId="2" fillId="2" borderId="0" xfId="0" applyFont="1" applyFill="1" applyBorder="1"/>
    <xf numFmtId="4" fontId="2" fillId="2" borderId="0" xfId="0" applyNumberFormat="1" applyFont="1" applyFill="1" applyBorder="1"/>
    <xf numFmtId="4" fontId="5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5" fillId="0" borderId="0" xfId="0" applyFont="1"/>
    <xf numFmtId="0" fontId="0" fillId="0" borderId="0" xfId="0" applyBorder="1"/>
    <xf numFmtId="0" fontId="5" fillId="0" borderId="0" xfId="0" applyFont="1" applyBorder="1" applyAlignment="1">
      <alignment horizontal="center"/>
    </xf>
    <xf numFmtId="0" fontId="10" fillId="0" borderId="0" xfId="0" applyFont="1"/>
    <xf numFmtId="0" fontId="12" fillId="0" borderId="0" xfId="0" applyFont="1"/>
    <xf numFmtId="0" fontId="11" fillId="0" borderId="0" xfId="0" applyFont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" fontId="9" fillId="0" borderId="1" xfId="0" applyNumberFormat="1" applyFont="1" applyBorder="1" applyAlignment="1">
      <alignment horizontal="right"/>
    </xf>
  </cellXfs>
  <cellStyles count="5">
    <cellStyle name="Normalno" xfId="0" builtinId="0"/>
    <cellStyle name="Obično_List4" xfId="3"/>
    <cellStyle name="Obično_List5" xfId="4"/>
    <cellStyle name="Obično_List7" xfId="1"/>
    <cellStyle name="Obično_List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85"/>
  <sheetViews>
    <sheetView tabSelected="1" workbookViewId="0">
      <selection activeCell="A13" sqref="A1:A1048576"/>
    </sheetView>
  </sheetViews>
  <sheetFormatPr defaultRowHeight="15" x14ac:dyDescent="0.25"/>
  <cols>
    <col min="1" max="1" width="0.5703125" customWidth="1"/>
    <col min="2" max="2" width="4.7109375" customWidth="1"/>
    <col min="3" max="3" width="30.140625" customWidth="1"/>
    <col min="4" max="4" width="18.140625" customWidth="1"/>
    <col min="5" max="5" width="15.85546875" customWidth="1"/>
    <col min="6" max="6" width="13.85546875" customWidth="1"/>
    <col min="7" max="8" width="11.5703125" customWidth="1"/>
    <col min="9" max="9" width="12.140625" customWidth="1"/>
    <col min="10" max="10" width="8.42578125" customWidth="1"/>
  </cols>
  <sheetData>
    <row r="1" spans="2:10" ht="4.5" customHeight="1" x14ac:dyDescent="0.25"/>
    <row r="2" spans="2:10" x14ac:dyDescent="0.25">
      <c r="B2" s="44" t="s">
        <v>0</v>
      </c>
      <c r="C2" s="45"/>
    </row>
    <row r="3" spans="2:10" x14ac:dyDescent="0.25">
      <c r="B3" s="44" t="s">
        <v>1</v>
      </c>
      <c r="C3" s="45"/>
    </row>
    <row r="4" spans="2:10" x14ac:dyDescent="0.25">
      <c r="B4" s="44" t="s">
        <v>69</v>
      </c>
      <c r="C4" s="45"/>
    </row>
    <row r="5" spans="2:10" x14ac:dyDescent="0.25">
      <c r="B5" s="1"/>
    </row>
    <row r="6" spans="2:10" x14ac:dyDescent="0.25">
      <c r="B6" s="1" t="s">
        <v>32</v>
      </c>
    </row>
    <row r="7" spans="2:10" x14ac:dyDescent="0.25">
      <c r="B7" s="1"/>
    </row>
    <row r="8" spans="2:10" x14ac:dyDescent="0.25">
      <c r="B8" s="47" t="s">
        <v>33</v>
      </c>
      <c r="C8" s="47"/>
      <c r="D8" s="47"/>
      <c r="E8" s="47"/>
      <c r="F8" s="47"/>
      <c r="G8" s="47"/>
      <c r="H8" s="47"/>
      <c r="I8" s="47"/>
      <c r="J8" s="47"/>
    </row>
    <row r="9" spans="2:10" ht="10.5" customHeight="1" x14ac:dyDescent="0.25">
      <c r="B9" s="48"/>
      <c r="C9" s="48"/>
      <c r="D9" s="48"/>
      <c r="E9" s="48"/>
      <c r="F9" s="48"/>
      <c r="G9" s="48"/>
      <c r="H9" s="48"/>
    </row>
    <row r="10" spans="2:10" ht="10.9" customHeight="1" x14ac:dyDescent="0.25">
      <c r="B10" s="2"/>
      <c r="C10" s="2"/>
      <c r="D10" s="2"/>
      <c r="E10" s="2"/>
      <c r="F10" s="2"/>
      <c r="G10" s="2"/>
      <c r="H10" s="2"/>
    </row>
    <row r="11" spans="2:10" ht="15.6" customHeight="1" x14ac:dyDescent="0.25">
      <c r="B11" s="3"/>
      <c r="C11" s="3"/>
      <c r="D11" s="4" t="s">
        <v>2</v>
      </c>
      <c r="E11" s="4" t="s">
        <v>3</v>
      </c>
      <c r="F11" s="4" t="s">
        <v>4</v>
      </c>
      <c r="G11" s="5" t="s">
        <v>5</v>
      </c>
      <c r="H11" s="5" t="s">
        <v>6</v>
      </c>
      <c r="I11" s="6" t="s">
        <v>7</v>
      </c>
      <c r="J11" s="6" t="s">
        <v>8</v>
      </c>
    </row>
    <row r="12" spans="2:10" ht="13.5" customHeight="1" x14ac:dyDescent="0.25">
      <c r="B12" s="7">
        <v>1</v>
      </c>
      <c r="C12" s="7">
        <v>2</v>
      </c>
      <c r="D12" s="8">
        <v>3</v>
      </c>
      <c r="E12" s="8">
        <v>4</v>
      </c>
      <c r="F12" s="8">
        <v>5</v>
      </c>
      <c r="G12" s="8">
        <v>6</v>
      </c>
      <c r="H12" s="8">
        <v>7</v>
      </c>
      <c r="I12" s="8">
        <v>8</v>
      </c>
      <c r="J12" s="8">
        <v>9</v>
      </c>
    </row>
    <row r="13" spans="2:10" ht="12" customHeight="1" x14ac:dyDescent="0.25">
      <c r="B13" s="3">
        <v>6</v>
      </c>
      <c r="C13" s="3" t="s">
        <v>9</v>
      </c>
      <c r="D13" s="4"/>
      <c r="E13" s="4"/>
      <c r="F13" s="4"/>
      <c r="G13" s="5"/>
      <c r="H13" s="5"/>
      <c r="I13" s="6"/>
      <c r="J13" s="4"/>
    </row>
    <row r="14" spans="2:10" ht="12" customHeight="1" x14ac:dyDescent="0.25">
      <c r="B14" s="9">
        <v>6361</v>
      </c>
      <c r="C14" s="10" t="s">
        <v>10</v>
      </c>
      <c r="D14" s="12">
        <f>18806456+5000</f>
        <v>18811456</v>
      </c>
      <c r="E14" s="53"/>
      <c r="F14" s="53"/>
      <c r="G14" s="53"/>
      <c r="H14" s="12">
        <f>SUM(D14:G14)</f>
        <v>18811456</v>
      </c>
      <c r="I14" s="13">
        <f>9468852.23+2500</f>
        <v>9471352.2300000004</v>
      </c>
      <c r="J14" s="4">
        <f t="shared" ref="J14:J64" si="0">I14/H14*100</f>
        <v>50.348852475853015</v>
      </c>
    </row>
    <row r="15" spans="2:10" ht="12" customHeight="1" x14ac:dyDescent="0.25">
      <c r="B15" s="9">
        <v>6381</v>
      </c>
      <c r="C15" s="10" t="s">
        <v>11</v>
      </c>
      <c r="D15" s="12">
        <v>1000000</v>
      </c>
      <c r="E15" s="53"/>
      <c r="F15" s="53"/>
      <c r="G15" s="53"/>
      <c r="H15" s="12">
        <f t="shared" ref="H15:H24" si="1">SUM(D15:G15)</f>
        <v>1000000</v>
      </c>
      <c r="I15" s="13">
        <v>456803.62</v>
      </c>
      <c r="J15" s="4">
        <f t="shared" si="0"/>
        <v>45.680362000000002</v>
      </c>
    </row>
    <row r="16" spans="2:10" ht="12" customHeight="1" x14ac:dyDescent="0.25">
      <c r="B16" s="9">
        <v>6413</v>
      </c>
      <c r="C16" s="10" t="s">
        <v>37</v>
      </c>
      <c r="D16" s="53"/>
      <c r="E16" s="53"/>
      <c r="F16" s="53"/>
      <c r="G16" s="53"/>
      <c r="H16" s="12"/>
      <c r="I16" s="13">
        <v>37.43</v>
      </c>
      <c r="J16" s="4" t="s">
        <v>27</v>
      </c>
    </row>
    <row r="17" spans="2:12" ht="12" customHeight="1" x14ac:dyDescent="0.25">
      <c r="B17" s="9">
        <v>6422</v>
      </c>
      <c r="C17" s="10" t="s">
        <v>12</v>
      </c>
      <c r="D17" s="53"/>
      <c r="E17" s="53"/>
      <c r="F17" s="12">
        <v>95000</v>
      </c>
      <c r="G17" s="53"/>
      <c r="H17" s="12">
        <f t="shared" si="1"/>
        <v>95000</v>
      </c>
      <c r="I17" s="13">
        <v>72891.08</v>
      </c>
      <c r="J17" s="4">
        <f t="shared" si="0"/>
        <v>76.727452631578956</v>
      </c>
    </row>
    <row r="18" spans="2:12" ht="12" customHeight="1" x14ac:dyDescent="0.25">
      <c r="B18" s="9">
        <v>6526</v>
      </c>
      <c r="C18" s="10" t="s">
        <v>13</v>
      </c>
      <c r="D18" s="53"/>
      <c r="E18" s="12">
        <f>30000+625000</f>
        <v>655000</v>
      </c>
      <c r="F18" s="53"/>
      <c r="G18" s="53"/>
      <c r="H18" s="12">
        <f t="shared" si="1"/>
        <v>655000</v>
      </c>
      <c r="I18" s="13">
        <f>357097.2+1950+288+150</f>
        <v>359485.2</v>
      </c>
      <c r="J18" s="4">
        <f t="shared" si="0"/>
        <v>54.88323664122138</v>
      </c>
    </row>
    <row r="19" spans="2:12" ht="12" customHeight="1" x14ac:dyDescent="0.25">
      <c r="B19" s="14">
        <v>6614</v>
      </c>
      <c r="C19" s="10" t="s">
        <v>35</v>
      </c>
      <c r="D19" s="53"/>
      <c r="E19" s="53"/>
      <c r="F19" s="12">
        <v>10000</v>
      </c>
      <c r="G19" s="53"/>
      <c r="H19" s="12">
        <f t="shared" si="1"/>
        <v>10000</v>
      </c>
      <c r="I19" s="13">
        <v>0</v>
      </c>
      <c r="J19" s="4">
        <f t="shared" si="0"/>
        <v>0</v>
      </c>
    </row>
    <row r="20" spans="2:12" ht="12" customHeight="1" x14ac:dyDescent="0.25">
      <c r="B20" s="14">
        <v>6615</v>
      </c>
      <c r="C20" s="10" t="s">
        <v>36</v>
      </c>
      <c r="D20" s="53"/>
      <c r="E20" s="53"/>
      <c r="F20" s="12">
        <v>540000</v>
      </c>
      <c r="G20" s="53"/>
      <c r="H20" s="12">
        <f t="shared" si="1"/>
        <v>540000</v>
      </c>
      <c r="I20" s="13">
        <f>96950+100096.7+53887+3016+1873.92+21355.6</f>
        <v>277179.22000000003</v>
      </c>
      <c r="J20" s="4">
        <f t="shared" si="0"/>
        <v>51.329485185185185</v>
      </c>
    </row>
    <row r="21" spans="2:12" ht="12" customHeight="1" x14ac:dyDescent="0.25">
      <c r="B21" s="14">
        <v>6631</v>
      </c>
      <c r="C21" s="10" t="s">
        <v>14</v>
      </c>
      <c r="D21" s="53"/>
      <c r="E21" s="12">
        <v>10000</v>
      </c>
      <c r="F21" s="53"/>
      <c r="G21" s="53"/>
      <c r="H21" s="12">
        <f t="shared" si="1"/>
        <v>10000</v>
      </c>
      <c r="I21" s="13">
        <v>11032.5</v>
      </c>
      <c r="J21" s="4">
        <f t="shared" si="0"/>
        <v>110.325</v>
      </c>
    </row>
    <row r="22" spans="2:12" ht="12" customHeight="1" x14ac:dyDescent="0.25">
      <c r="B22" s="14">
        <v>6711</v>
      </c>
      <c r="C22" s="10" t="s">
        <v>15</v>
      </c>
      <c r="D22" s="12">
        <f>1546960+150000+627846</f>
        <v>2324806</v>
      </c>
      <c r="E22" s="53"/>
      <c r="F22" s="53"/>
      <c r="G22" s="53"/>
      <c r="H22" s="12">
        <f t="shared" si="1"/>
        <v>2324806</v>
      </c>
      <c r="I22" s="13">
        <f>357330.69+467627.54+324074.38+25758.42+93767.04</f>
        <v>1268558.0699999998</v>
      </c>
      <c r="J22" s="4">
        <f t="shared" si="0"/>
        <v>54.566190469226242</v>
      </c>
    </row>
    <row r="23" spans="2:12" ht="12" customHeight="1" x14ac:dyDescent="0.25">
      <c r="B23" s="14">
        <v>6831</v>
      </c>
      <c r="C23" s="10" t="s">
        <v>16</v>
      </c>
      <c r="D23" s="53"/>
      <c r="E23" s="53"/>
      <c r="F23" s="53"/>
      <c r="G23" s="53"/>
      <c r="H23" s="12">
        <v>0</v>
      </c>
      <c r="I23" s="13">
        <v>7980.36</v>
      </c>
      <c r="J23" s="4" t="s">
        <v>27</v>
      </c>
    </row>
    <row r="24" spans="2:12" ht="12" customHeight="1" x14ac:dyDescent="0.25">
      <c r="B24" s="14">
        <v>7212</v>
      </c>
      <c r="C24" s="15" t="s">
        <v>17</v>
      </c>
      <c r="D24" s="53"/>
      <c r="E24" s="53"/>
      <c r="F24" s="53"/>
      <c r="G24" s="12">
        <v>2000</v>
      </c>
      <c r="H24" s="12">
        <f t="shared" si="1"/>
        <v>2000</v>
      </c>
      <c r="I24" s="13">
        <v>3551.76</v>
      </c>
      <c r="J24" s="4">
        <f t="shared" si="0"/>
        <v>177.58800000000002</v>
      </c>
    </row>
    <row r="25" spans="2:12" ht="12" customHeight="1" x14ac:dyDescent="0.25">
      <c r="B25" s="14"/>
      <c r="C25" s="16" t="s">
        <v>18</v>
      </c>
      <c r="D25" s="17">
        <f t="shared" ref="D25:I25" si="2">SUM(D14:D24)</f>
        <v>22136262</v>
      </c>
      <c r="E25" s="17">
        <f t="shared" si="2"/>
        <v>665000</v>
      </c>
      <c r="F25" s="17">
        <f t="shared" si="2"/>
        <v>645000</v>
      </c>
      <c r="G25" s="17">
        <f t="shared" si="2"/>
        <v>2000</v>
      </c>
      <c r="H25" s="17">
        <f t="shared" si="2"/>
        <v>23448262</v>
      </c>
      <c r="I25" s="17">
        <f t="shared" si="2"/>
        <v>11928871.469999999</v>
      </c>
      <c r="J25" s="4">
        <f t="shared" si="0"/>
        <v>50.873158402955397</v>
      </c>
      <c r="K25" s="18"/>
      <c r="L25" s="18"/>
    </row>
    <row r="26" spans="2:12" ht="12" customHeight="1" x14ac:dyDescent="0.25">
      <c r="B26" s="14"/>
      <c r="C26" s="46" t="s">
        <v>72</v>
      </c>
      <c r="D26" s="11">
        <f>1368500+567944</f>
        <v>1936444</v>
      </c>
      <c r="E26" s="11">
        <v>652993</v>
      </c>
      <c r="F26" s="17"/>
      <c r="G26" s="17"/>
      <c r="H26" s="11">
        <f>D26+E26</f>
        <v>2589437</v>
      </c>
      <c r="I26" s="11">
        <v>2589437</v>
      </c>
      <c r="J26" s="4"/>
      <c r="K26" s="18"/>
      <c r="L26" s="18"/>
    </row>
    <row r="27" spans="2:12" ht="12" customHeight="1" x14ac:dyDescent="0.25">
      <c r="B27" s="14"/>
      <c r="C27" s="16" t="s">
        <v>18</v>
      </c>
      <c r="D27" s="17">
        <f>D25+D26</f>
        <v>24072706</v>
      </c>
      <c r="E27" s="17">
        <f t="shared" ref="E27:I27" si="3">E25+E26</f>
        <v>1317993</v>
      </c>
      <c r="F27" s="17">
        <f t="shared" si="3"/>
        <v>645000</v>
      </c>
      <c r="G27" s="17">
        <f t="shared" si="3"/>
        <v>2000</v>
      </c>
      <c r="H27" s="17">
        <f t="shared" si="3"/>
        <v>26037699</v>
      </c>
      <c r="I27" s="17">
        <f t="shared" si="3"/>
        <v>14518308.469999999</v>
      </c>
      <c r="J27" s="4"/>
      <c r="K27" s="18"/>
      <c r="L27" s="18"/>
    </row>
    <row r="28" spans="2:12" ht="12" customHeight="1" x14ac:dyDescent="0.25">
      <c r="B28" s="19"/>
      <c r="C28" s="19"/>
      <c r="D28" s="20"/>
      <c r="E28" s="20"/>
      <c r="F28" s="20"/>
      <c r="G28" s="12"/>
      <c r="H28" s="12"/>
      <c r="I28" s="21"/>
      <c r="J28" s="4"/>
    </row>
    <row r="29" spans="2:12" ht="12" customHeight="1" x14ac:dyDescent="0.25">
      <c r="B29" s="3">
        <v>3</v>
      </c>
      <c r="C29" s="3" t="s">
        <v>19</v>
      </c>
      <c r="D29" s="12"/>
      <c r="E29" s="12"/>
      <c r="F29" s="12"/>
      <c r="G29" s="12"/>
      <c r="H29" s="12"/>
      <c r="I29" s="21"/>
      <c r="J29" s="4"/>
    </row>
    <row r="30" spans="2:12" ht="12" customHeight="1" x14ac:dyDescent="0.25">
      <c r="B30" s="21">
        <v>3111</v>
      </c>
      <c r="C30" s="22" t="s">
        <v>49</v>
      </c>
      <c r="D30" s="12">
        <v>15420000</v>
      </c>
      <c r="E30" s="53"/>
      <c r="F30" s="12">
        <v>230000</v>
      </c>
      <c r="G30" s="53"/>
      <c r="H30" s="23">
        <f>SUM(D30:G30)</f>
        <v>15650000</v>
      </c>
      <c r="I30" s="13">
        <f>6938110.74+71149.32+408593.99+285581.81+131975.43+159715.12</f>
        <v>7995126.4100000001</v>
      </c>
      <c r="J30" s="4">
        <f t="shared" si="0"/>
        <v>51.087069712460064</v>
      </c>
    </row>
    <row r="31" spans="2:12" ht="12" customHeight="1" x14ac:dyDescent="0.25">
      <c r="B31" s="21">
        <v>3121</v>
      </c>
      <c r="C31" s="22" t="s">
        <v>20</v>
      </c>
      <c r="D31" s="12">
        <f>688850+135000</f>
        <v>823850</v>
      </c>
      <c r="E31" s="53"/>
      <c r="F31" s="12">
        <v>11500</v>
      </c>
      <c r="G31" s="53"/>
      <c r="H31" s="23">
        <f t="shared" ref="H31:H63" si="4">SUM(D31:G31)</f>
        <v>835350</v>
      </c>
      <c r="I31" s="13">
        <f>69082.12+14762.68+10597.53+189000</f>
        <v>283442.32999999996</v>
      </c>
      <c r="J31" s="4">
        <f t="shared" si="0"/>
        <v>33.930966660681143</v>
      </c>
    </row>
    <row r="32" spans="2:12" ht="12" customHeight="1" x14ac:dyDescent="0.25">
      <c r="B32" s="21">
        <v>3132</v>
      </c>
      <c r="C32" s="22" t="s">
        <v>50</v>
      </c>
      <c r="D32" s="12">
        <v>2552500</v>
      </c>
      <c r="E32" s="53"/>
      <c r="F32" s="12">
        <v>40000</v>
      </c>
      <c r="G32" s="53"/>
      <c r="H32" s="23">
        <f t="shared" si="4"/>
        <v>2592500</v>
      </c>
      <c r="I32" s="13">
        <f>1281857.95+31714.16+2042.8+6945.77</f>
        <v>1322560.68</v>
      </c>
      <c r="J32" s="4">
        <f t="shared" si="0"/>
        <v>51.014876759884274</v>
      </c>
    </row>
    <row r="33" spans="2:10" ht="12" customHeight="1" x14ac:dyDescent="0.25">
      <c r="B33" s="21">
        <v>3211</v>
      </c>
      <c r="C33" s="22" t="s">
        <v>51</v>
      </c>
      <c r="D33" s="12">
        <v>603000</v>
      </c>
      <c r="E33" s="12">
        <v>30000</v>
      </c>
      <c r="F33" s="12">
        <v>30000</v>
      </c>
      <c r="G33" s="53"/>
      <c r="H33" s="23">
        <f t="shared" si="4"/>
        <v>663000</v>
      </c>
      <c r="I33" s="13">
        <f>29538.64+100+138661.64+4897.99+94950.96+11598.75+98436.89+4328.51+10194.15</f>
        <v>392707.53000000009</v>
      </c>
      <c r="J33" s="4">
        <f t="shared" si="0"/>
        <v>59.231904977375585</v>
      </c>
    </row>
    <row r="34" spans="2:10" ht="12" customHeight="1" x14ac:dyDescent="0.25">
      <c r="B34" s="24">
        <v>3212</v>
      </c>
      <c r="C34" s="25" t="s">
        <v>38</v>
      </c>
      <c r="D34" s="12">
        <f>740000+25000+15000</f>
        <v>780000</v>
      </c>
      <c r="E34" s="12"/>
      <c r="F34" s="53"/>
      <c r="G34" s="53"/>
      <c r="H34" s="23">
        <f t="shared" si="4"/>
        <v>780000</v>
      </c>
      <c r="I34" s="13">
        <f>367996.03+13856.63</f>
        <v>381852.66000000003</v>
      </c>
      <c r="J34" s="4">
        <f t="shared" si="0"/>
        <v>48.955469230769232</v>
      </c>
    </row>
    <row r="35" spans="2:10" ht="12" customHeight="1" x14ac:dyDescent="0.25">
      <c r="B35" s="24">
        <v>3213</v>
      </c>
      <c r="C35" s="25" t="s">
        <v>39</v>
      </c>
      <c r="D35" s="12">
        <v>600</v>
      </c>
      <c r="E35" s="12">
        <v>20000</v>
      </c>
      <c r="F35" s="12">
        <v>10000</v>
      </c>
      <c r="G35" s="53"/>
      <c r="H35" s="23">
        <f t="shared" si="4"/>
        <v>30600</v>
      </c>
      <c r="I35" s="13">
        <f>12900.16+1792.8</f>
        <v>14692.96</v>
      </c>
      <c r="J35" s="4">
        <f t="shared" si="0"/>
        <v>48.016209150326794</v>
      </c>
    </row>
    <row r="36" spans="2:10" ht="12" customHeight="1" x14ac:dyDescent="0.25">
      <c r="B36" s="24">
        <v>3221</v>
      </c>
      <c r="C36" s="25" t="s">
        <v>40</v>
      </c>
      <c r="D36" s="12">
        <f>15000+30000+20000+1000+30000</f>
        <v>96000</v>
      </c>
      <c r="E36" s="12">
        <f>5000+20000+50000</f>
        <v>75000</v>
      </c>
      <c r="F36" s="12">
        <f>7000+15000</f>
        <v>22000</v>
      </c>
      <c r="G36" s="53"/>
      <c r="H36" s="23">
        <f t="shared" si="4"/>
        <v>193000</v>
      </c>
      <c r="I36" s="13">
        <f>32523.72+101.43+4672.92+15801.68+6951.42+28919.19+16944.88+7010.87+3503.08</f>
        <v>116429.19</v>
      </c>
      <c r="J36" s="4">
        <f t="shared" si="0"/>
        <v>60.326005181347156</v>
      </c>
    </row>
    <row r="37" spans="2:10" ht="12" customHeight="1" x14ac:dyDescent="0.25">
      <c r="B37" s="24">
        <v>3222</v>
      </c>
      <c r="C37" s="25" t="s">
        <v>41</v>
      </c>
      <c r="D37" s="12">
        <f>40000+31000+5000+287866</f>
        <v>363866</v>
      </c>
      <c r="E37" s="12">
        <f>25000+10000+323000</f>
        <v>358000</v>
      </c>
      <c r="F37" s="12">
        <f>12000+5000</f>
        <v>17000</v>
      </c>
      <c r="G37" s="53"/>
      <c r="H37" s="23">
        <f t="shared" si="4"/>
        <v>738866</v>
      </c>
      <c r="I37" s="13">
        <f>254372.81+26510.44+401.42+41003.02+1967.4+2178.58+17458.39</f>
        <v>343892.06000000006</v>
      </c>
      <c r="J37" s="4">
        <f t="shared" si="0"/>
        <v>46.543224346498562</v>
      </c>
    </row>
    <row r="38" spans="2:10" ht="12" customHeight="1" x14ac:dyDescent="0.25">
      <c r="B38" s="24">
        <v>3223</v>
      </c>
      <c r="C38" s="25" t="s">
        <v>42</v>
      </c>
      <c r="D38" s="12">
        <f>300000+70000+70000+120000</f>
        <v>560000</v>
      </c>
      <c r="E38" s="12">
        <v>65000</v>
      </c>
      <c r="F38" s="12">
        <v>23000</v>
      </c>
      <c r="G38" s="53"/>
      <c r="H38" s="23">
        <f t="shared" si="4"/>
        <v>648000</v>
      </c>
      <c r="I38" s="13">
        <f>49884.92+18600.05+16264.4+9228.04+167432.74+42390.7+5076.54+930.14+8636.29+806.57+9999.98</f>
        <v>329250.36999999994</v>
      </c>
      <c r="J38" s="4">
        <f t="shared" si="0"/>
        <v>50.810242283950615</v>
      </c>
    </row>
    <row r="39" spans="2:10" ht="12" customHeight="1" x14ac:dyDescent="0.25">
      <c r="B39" s="24">
        <v>3224</v>
      </c>
      <c r="C39" s="25" t="s">
        <v>63</v>
      </c>
      <c r="D39" s="12">
        <f>20000+13000</f>
        <v>33000</v>
      </c>
      <c r="E39" s="12">
        <v>30000</v>
      </c>
      <c r="F39" s="12">
        <v>15000</v>
      </c>
      <c r="G39" s="12">
        <v>1000</v>
      </c>
      <c r="H39" s="23">
        <f t="shared" si="4"/>
        <v>79000</v>
      </c>
      <c r="I39" s="13">
        <f>164.29+844.15+5579.14+184.69+184.68+12509.42+1860.18</f>
        <v>21326.55</v>
      </c>
      <c r="J39" s="4">
        <f t="shared" si="0"/>
        <v>26.995632911392402</v>
      </c>
    </row>
    <row r="40" spans="2:10" ht="12" customHeight="1" x14ac:dyDescent="0.25">
      <c r="B40" s="24">
        <v>3225</v>
      </c>
      <c r="C40" s="25" t="s">
        <v>52</v>
      </c>
      <c r="D40" s="12">
        <v>3500</v>
      </c>
      <c r="E40" s="12">
        <v>5000</v>
      </c>
      <c r="F40" s="12">
        <f>15000+5000</f>
        <v>20000</v>
      </c>
      <c r="G40" s="12"/>
      <c r="H40" s="23">
        <f t="shared" si="4"/>
        <v>28500</v>
      </c>
      <c r="I40" s="13">
        <f>10077.58+1434.24</f>
        <v>11511.82</v>
      </c>
      <c r="J40" s="4">
        <f t="shared" si="0"/>
        <v>40.392350877192982</v>
      </c>
    </row>
    <row r="41" spans="2:10" ht="12" customHeight="1" x14ac:dyDescent="0.25">
      <c r="B41" s="24">
        <v>3227</v>
      </c>
      <c r="C41" s="25" t="s">
        <v>53</v>
      </c>
      <c r="D41" s="12">
        <v>25000</v>
      </c>
      <c r="E41" s="12">
        <v>15000</v>
      </c>
      <c r="F41" s="12">
        <v>3000</v>
      </c>
      <c r="G41" s="12"/>
      <c r="H41" s="23">
        <f t="shared" si="4"/>
        <v>43000</v>
      </c>
      <c r="I41" s="13">
        <f>15232.5+4120.95</f>
        <v>19353.45</v>
      </c>
      <c r="J41" s="4">
        <f t="shared" si="0"/>
        <v>45.008023255813953</v>
      </c>
    </row>
    <row r="42" spans="2:10" ht="12" customHeight="1" x14ac:dyDescent="0.25">
      <c r="B42" s="24">
        <v>3231</v>
      </c>
      <c r="C42" s="25" t="s">
        <v>43</v>
      </c>
      <c r="D42" s="12">
        <f>10000+3000+3000+4500</f>
        <v>20500</v>
      </c>
      <c r="E42" s="12">
        <v>27000</v>
      </c>
      <c r="F42" s="12">
        <v>1000</v>
      </c>
      <c r="G42" s="12"/>
      <c r="H42" s="23">
        <f t="shared" si="4"/>
        <v>48500</v>
      </c>
      <c r="I42" s="13">
        <f>10700.15+4688.85+4535+43782</f>
        <v>63706</v>
      </c>
      <c r="J42" s="4">
        <f t="shared" si="0"/>
        <v>131.35257731958762</v>
      </c>
    </row>
    <row r="43" spans="2:10" ht="12" customHeight="1" x14ac:dyDescent="0.25">
      <c r="B43" s="24">
        <v>3232</v>
      </c>
      <c r="C43" s="25" t="s">
        <v>64</v>
      </c>
      <c r="D43" s="12">
        <f>28110+20000</f>
        <v>48110</v>
      </c>
      <c r="E43" s="12">
        <v>40000</v>
      </c>
      <c r="F43" s="12">
        <v>30000</v>
      </c>
      <c r="G43" s="12">
        <v>1000</v>
      </c>
      <c r="H43" s="23">
        <f t="shared" si="4"/>
        <v>119110</v>
      </c>
      <c r="I43" s="13">
        <f>72154.31+4793.25+641.11+641.1+1245</f>
        <v>79474.77</v>
      </c>
      <c r="J43" s="4">
        <f t="shared" si="0"/>
        <v>66.723843506002851</v>
      </c>
    </row>
    <row r="44" spans="2:10" ht="12" customHeight="1" x14ac:dyDescent="0.25">
      <c r="B44" s="24">
        <v>3233</v>
      </c>
      <c r="C44" s="25" t="s">
        <v>65</v>
      </c>
      <c r="D44" s="53"/>
      <c r="E44" s="12">
        <v>3000</v>
      </c>
      <c r="F44" s="12">
        <v>1000</v>
      </c>
      <c r="G44" s="53"/>
      <c r="H44" s="23">
        <f t="shared" si="4"/>
        <v>4000</v>
      </c>
      <c r="I44" s="13">
        <f>859.38+859.37</f>
        <v>1718.75</v>
      </c>
      <c r="J44" s="4">
        <f t="shared" si="0"/>
        <v>42.96875</v>
      </c>
    </row>
    <row r="45" spans="2:10" s="1" customFormat="1" ht="12" customHeight="1" x14ac:dyDescent="0.2">
      <c r="B45" s="24">
        <v>3234</v>
      </c>
      <c r="C45" s="28" t="s">
        <v>44</v>
      </c>
      <c r="D45" s="12">
        <f>75000+80000</f>
        <v>155000</v>
      </c>
      <c r="E45" s="12">
        <v>20000</v>
      </c>
      <c r="F45" s="12">
        <v>1000</v>
      </c>
      <c r="G45" s="53"/>
      <c r="H45" s="23">
        <f t="shared" si="4"/>
        <v>176000</v>
      </c>
      <c r="I45" s="13">
        <f>16522.73+9271.76+18661.2+20376.63+1120.5+1118.01+1118.01</f>
        <v>68188.84</v>
      </c>
      <c r="J45" s="4">
        <f t="shared" si="0"/>
        <v>38.743659090909091</v>
      </c>
    </row>
    <row r="46" spans="2:10" ht="12" customHeight="1" x14ac:dyDescent="0.25">
      <c r="B46" s="24">
        <v>3235</v>
      </c>
      <c r="C46" s="28" t="s">
        <v>45</v>
      </c>
      <c r="D46" s="12">
        <v>264250</v>
      </c>
      <c r="E46" s="53"/>
      <c r="F46" s="53"/>
      <c r="G46" s="53"/>
      <c r="H46" s="23">
        <f t="shared" si="4"/>
        <v>264250</v>
      </c>
      <c r="I46" s="13">
        <f>83600+6723</f>
        <v>90323</v>
      </c>
      <c r="J46" s="4">
        <f t="shared" si="0"/>
        <v>34.18088930936613</v>
      </c>
    </row>
    <row r="47" spans="2:10" ht="12" customHeight="1" x14ac:dyDescent="0.25">
      <c r="B47" s="24">
        <v>3236</v>
      </c>
      <c r="C47" s="28" t="s">
        <v>62</v>
      </c>
      <c r="D47" s="12">
        <v>1480</v>
      </c>
      <c r="E47" s="12">
        <v>21000</v>
      </c>
      <c r="F47" s="12">
        <v>8000</v>
      </c>
      <c r="G47" s="53"/>
      <c r="H47" s="23">
        <f t="shared" si="4"/>
        <v>30480</v>
      </c>
      <c r="I47" s="13">
        <f>11303.51+15000</f>
        <v>26303.510000000002</v>
      </c>
      <c r="J47" s="4">
        <f t="shared" si="0"/>
        <v>86.297604986876649</v>
      </c>
    </row>
    <row r="48" spans="2:10" ht="12" customHeight="1" x14ac:dyDescent="0.25">
      <c r="B48" s="24">
        <v>3237</v>
      </c>
      <c r="C48" s="28" t="s">
        <v>54</v>
      </c>
      <c r="D48" s="12">
        <v>145000</v>
      </c>
      <c r="E48" s="12">
        <v>20000</v>
      </c>
      <c r="F48" s="12">
        <f>3000+87000</f>
        <v>90000</v>
      </c>
      <c r="G48" s="53"/>
      <c r="H48" s="23">
        <f t="shared" si="4"/>
        <v>255000</v>
      </c>
      <c r="I48" s="13">
        <f>3989.75+76015.57+19750+24147.5</f>
        <v>123902.82</v>
      </c>
      <c r="J48" s="4">
        <f t="shared" si="0"/>
        <v>48.58934117647059</v>
      </c>
    </row>
    <row r="49" spans="2:10" s="29" customFormat="1" ht="12" customHeight="1" x14ac:dyDescent="0.25">
      <c r="B49" s="24">
        <v>3238</v>
      </c>
      <c r="C49" s="28" t="s">
        <v>46</v>
      </c>
      <c r="D49" s="12">
        <v>4000</v>
      </c>
      <c r="E49" s="12">
        <v>12000</v>
      </c>
      <c r="F49" s="53"/>
      <c r="G49" s="53"/>
      <c r="H49" s="23">
        <f t="shared" si="4"/>
        <v>16000</v>
      </c>
      <c r="I49" s="13">
        <v>7416.89</v>
      </c>
      <c r="J49" s="4">
        <f t="shared" si="0"/>
        <v>46.355562500000005</v>
      </c>
    </row>
    <row r="50" spans="2:10" s="29" customFormat="1" ht="12" customHeight="1" x14ac:dyDescent="0.25">
      <c r="B50" s="24">
        <v>3239</v>
      </c>
      <c r="C50" s="28" t="s">
        <v>55</v>
      </c>
      <c r="D50" s="12">
        <v>118300</v>
      </c>
      <c r="E50" s="12">
        <v>20000</v>
      </c>
      <c r="F50" s="12">
        <v>20000</v>
      </c>
      <c r="G50" s="53"/>
      <c r="H50" s="23">
        <f t="shared" si="4"/>
        <v>158300</v>
      </c>
      <c r="I50" s="13">
        <f>18930+4551.11+150+8260.8+6000+3017+932</f>
        <v>41840.910000000003</v>
      </c>
      <c r="J50" s="4">
        <f t="shared" si="0"/>
        <v>26.431402400505373</v>
      </c>
    </row>
    <row r="51" spans="2:10" s="29" customFormat="1" ht="12" customHeight="1" x14ac:dyDescent="0.25">
      <c r="B51" s="24">
        <v>3241</v>
      </c>
      <c r="C51" s="28" t="s">
        <v>34</v>
      </c>
      <c r="D51" s="12">
        <v>900000</v>
      </c>
      <c r="E51" s="53"/>
      <c r="F51" s="12"/>
      <c r="G51" s="53"/>
      <c r="H51" s="23">
        <f t="shared" si="4"/>
        <v>900000</v>
      </c>
      <c r="I51" s="13">
        <f>69722.1+542519.42-2861.73</f>
        <v>609379.79</v>
      </c>
      <c r="J51" s="4">
        <f t="shared" si="0"/>
        <v>67.708865555555562</v>
      </c>
    </row>
    <row r="52" spans="2:10" s="29" customFormat="1" ht="12" customHeight="1" x14ac:dyDescent="0.25">
      <c r="B52" s="24">
        <v>3292</v>
      </c>
      <c r="C52" s="28" t="s">
        <v>56</v>
      </c>
      <c r="D52" s="12">
        <v>15000</v>
      </c>
      <c r="E52" s="12">
        <v>29000</v>
      </c>
      <c r="F52" s="12">
        <v>34000</v>
      </c>
      <c r="G52" s="53"/>
      <c r="H52" s="23">
        <f t="shared" si="4"/>
        <v>78000</v>
      </c>
      <c r="I52" s="13">
        <f>8036.73+5423.08+8073+8073+7183.08</f>
        <v>36788.89</v>
      </c>
      <c r="J52" s="4">
        <f t="shared" si="0"/>
        <v>47.165243589743589</v>
      </c>
    </row>
    <row r="53" spans="2:10" s="29" customFormat="1" ht="12" customHeight="1" x14ac:dyDescent="0.25">
      <c r="B53" s="24">
        <v>3293</v>
      </c>
      <c r="C53" s="28" t="s">
        <v>57</v>
      </c>
      <c r="D53" s="12">
        <v>31000</v>
      </c>
      <c r="E53" s="12">
        <v>10000</v>
      </c>
      <c r="F53" s="12">
        <f>3000+10000</f>
        <v>13000</v>
      </c>
      <c r="G53" s="53"/>
      <c r="H53" s="23">
        <f t="shared" si="4"/>
        <v>54000</v>
      </c>
      <c r="I53" s="13">
        <f>32167.07+5691.89</f>
        <v>37858.959999999999</v>
      </c>
      <c r="J53" s="4">
        <f t="shared" si="0"/>
        <v>70.109185185185183</v>
      </c>
    </row>
    <row r="54" spans="2:10" s="29" customFormat="1" ht="12" customHeight="1" x14ac:dyDescent="0.25">
      <c r="B54" s="24">
        <v>3294</v>
      </c>
      <c r="C54" s="28" t="s">
        <v>66</v>
      </c>
      <c r="D54" s="53"/>
      <c r="E54" s="12">
        <v>1000</v>
      </c>
      <c r="F54" s="12">
        <v>5000</v>
      </c>
      <c r="G54" s="53"/>
      <c r="H54" s="23">
        <f t="shared" si="4"/>
        <v>6000</v>
      </c>
      <c r="I54" s="13">
        <f>4400</f>
        <v>4400</v>
      </c>
      <c r="J54" s="4">
        <f t="shared" si="0"/>
        <v>73.333333333333329</v>
      </c>
    </row>
    <row r="55" spans="2:10" s="29" customFormat="1" ht="12" customHeight="1" x14ac:dyDescent="0.25">
      <c r="B55" s="24">
        <v>3295</v>
      </c>
      <c r="C55" s="28" t="s">
        <v>58</v>
      </c>
      <c r="D55" s="12">
        <v>50400</v>
      </c>
      <c r="E55" s="12">
        <v>3000</v>
      </c>
      <c r="F55" s="12">
        <v>4000</v>
      </c>
      <c r="G55" s="53"/>
      <c r="H55" s="23">
        <f t="shared" si="4"/>
        <v>57400</v>
      </c>
      <c r="I55" s="13">
        <f>7800+123.75+21400</f>
        <v>29323.75</v>
      </c>
      <c r="J55" s="4">
        <f t="shared" si="0"/>
        <v>51.086672473867601</v>
      </c>
    </row>
    <row r="56" spans="2:10" s="29" customFormat="1" ht="12" customHeight="1" x14ac:dyDescent="0.25">
      <c r="B56" s="24">
        <v>3296</v>
      </c>
      <c r="C56" s="28" t="s">
        <v>59</v>
      </c>
      <c r="D56" s="12">
        <v>200000</v>
      </c>
      <c r="E56" s="53"/>
      <c r="F56" s="12"/>
      <c r="G56" s="53"/>
      <c r="H56" s="23">
        <f t="shared" si="4"/>
        <v>200000</v>
      </c>
      <c r="I56" s="13">
        <v>150127.84</v>
      </c>
      <c r="J56" s="4">
        <f t="shared" si="0"/>
        <v>75.063919999999996</v>
      </c>
    </row>
    <row r="57" spans="2:10" s="29" customFormat="1" ht="12" customHeight="1" x14ac:dyDescent="0.25">
      <c r="B57" s="24">
        <v>3299</v>
      </c>
      <c r="C57" s="28" t="s">
        <v>67</v>
      </c>
      <c r="D57" s="12">
        <v>10000</v>
      </c>
      <c r="E57" s="12">
        <v>11993</v>
      </c>
      <c r="F57" s="12">
        <v>5000</v>
      </c>
      <c r="G57" s="53"/>
      <c r="H57" s="23">
        <f t="shared" si="4"/>
        <v>26993</v>
      </c>
      <c r="I57" s="13">
        <f>4000+1416.37+5413.52</f>
        <v>10829.89</v>
      </c>
      <c r="J57" s="4">
        <f t="shared" si="0"/>
        <v>40.121105471788979</v>
      </c>
    </row>
    <row r="58" spans="2:10" ht="12" customHeight="1" x14ac:dyDescent="0.25">
      <c r="B58" s="24">
        <v>3431</v>
      </c>
      <c r="C58" s="28" t="s">
        <v>47</v>
      </c>
      <c r="D58" s="12">
        <v>5000</v>
      </c>
      <c r="E58" s="12">
        <v>5000</v>
      </c>
      <c r="F58" s="12">
        <v>4000</v>
      </c>
      <c r="G58" s="27"/>
      <c r="H58" s="23">
        <f t="shared" si="4"/>
        <v>14000</v>
      </c>
      <c r="I58" s="13">
        <f>10947.42+607.56+1445.94</f>
        <v>13000.92</v>
      </c>
      <c r="J58" s="4">
        <f t="shared" si="0"/>
        <v>92.863714285714281</v>
      </c>
    </row>
    <row r="59" spans="2:10" ht="12" customHeight="1" x14ac:dyDescent="0.25">
      <c r="B59" s="24">
        <v>3433</v>
      </c>
      <c r="C59" s="28" t="s">
        <v>60</v>
      </c>
      <c r="D59" s="12">
        <v>220000</v>
      </c>
      <c r="E59" s="53"/>
      <c r="F59" s="12"/>
      <c r="G59" s="27"/>
      <c r="H59" s="23">
        <f t="shared" si="4"/>
        <v>220000</v>
      </c>
      <c r="I59" s="13">
        <f>3024.05+55840.61+0.43+101294.26</f>
        <v>160159.35</v>
      </c>
      <c r="J59" s="4">
        <f t="shared" si="0"/>
        <v>72.799704545454546</v>
      </c>
    </row>
    <row r="60" spans="2:10" ht="12" customHeight="1" x14ac:dyDescent="0.25">
      <c r="B60" s="24">
        <v>4123</v>
      </c>
      <c r="C60" s="28" t="s">
        <v>70</v>
      </c>
      <c r="D60" s="53"/>
      <c r="E60" s="53"/>
      <c r="F60" s="12">
        <v>7500</v>
      </c>
      <c r="G60" s="27"/>
      <c r="H60" s="23">
        <f t="shared" si="4"/>
        <v>7500</v>
      </c>
      <c r="I60" s="13">
        <v>7134.67</v>
      </c>
      <c r="J60" s="4">
        <f t="shared" si="0"/>
        <v>95.128933333333336</v>
      </c>
    </row>
    <row r="61" spans="2:10" ht="12" customHeight="1" x14ac:dyDescent="0.25">
      <c r="B61" s="24">
        <v>4214</v>
      </c>
      <c r="C61" s="28" t="s">
        <v>61</v>
      </c>
      <c r="D61" s="12">
        <v>550000</v>
      </c>
      <c r="E61" s="53"/>
      <c r="F61" s="53"/>
      <c r="G61" s="27"/>
      <c r="H61" s="23">
        <f t="shared" si="4"/>
        <v>550000</v>
      </c>
      <c r="I61" s="13">
        <v>24500</v>
      </c>
      <c r="J61" s="4">
        <f t="shared" si="0"/>
        <v>4.454545454545455</v>
      </c>
    </row>
    <row r="62" spans="2:10" ht="12" customHeight="1" x14ac:dyDescent="0.25">
      <c r="B62" s="24">
        <v>4227</v>
      </c>
      <c r="C62" s="28" t="s">
        <v>48</v>
      </c>
      <c r="D62" s="26">
        <f>12000+61350</f>
        <v>73350</v>
      </c>
      <c r="E62" s="26">
        <v>495000</v>
      </c>
      <c r="F62" s="53"/>
      <c r="G62" s="27"/>
      <c r="H62" s="23">
        <f t="shared" si="4"/>
        <v>568350</v>
      </c>
      <c r="I62" s="13">
        <f>6698.75+232437.95</f>
        <v>239136.7</v>
      </c>
      <c r="J62" s="4">
        <f t="shared" si="0"/>
        <v>42.075604820972998</v>
      </c>
    </row>
    <row r="63" spans="2:10" ht="12" customHeight="1" x14ac:dyDescent="0.25">
      <c r="B63" s="24">
        <v>4262</v>
      </c>
      <c r="C63" s="28" t="s">
        <v>68</v>
      </c>
      <c r="D63" s="27"/>
      <c r="E63" s="26">
        <v>2000</v>
      </c>
      <c r="F63" s="53"/>
      <c r="G63" s="27"/>
      <c r="H63" s="23">
        <f t="shared" si="4"/>
        <v>2000</v>
      </c>
      <c r="I63" s="13">
        <v>0</v>
      </c>
      <c r="J63" s="4">
        <f t="shared" si="0"/>
        <v>0</v>
      </c>
    </row>
    <row r="64" spans="2:10" x14ac:dyDescent="0.25">
      <c r="B64" s="24"/>
      <c r="C64" s="30" t="s">
        <v>18</v>
      </c>
      <c r="D64" s="31">
        <f>SUM(D30:D63)</f>
        <v>24072706</v>
      </c>
      <c r="E64" s="31">
        <f t="shared" ref="E64:G64" si="5">SUM(E30:E63)</f>
        <v>1317993</v>
      </c>
      <c r="F64" s="31">
        <f t="shared" si="5"/>
        <v>645000</v>
      </c>
      <c r="G64" s="31">
        <f t="shared" si="5"/>
        <v>2000</v>
      </c>
      <c r="H64" s="31">
        <f t="shared" ref="H64" si="6">SUM(H30:H63)</f>
        <v>26037699</v>
      </c>
      <c r="I64" s="31">
        <f t="shared" ref="I64" si="7">SUM(I30:I63)</f>
        <v>13057662.26</v>
      </c>
      <c r="J64" s="4">
        <f t="shared" si="0"/>
        <v>50.149063709508276</v>
      </c>
    </row>
    <row r="65" spans="2:10" x14ac:dyDescent="0.25">
      <c r="B65" s="32"/>
      <c r="C65" s="33"/>
      <c r="D65" s="34"/>
      <c r="E65" s="34"/>
      <c r="F65" s="34"/>
      <c r="G65" s="34"/>
      <c r="H65" s="34"/>
      <c r="I65" s="35"/>
      <c r="J65" s="36"/>
    </row>
    <row r="66" spans="2:10" ht="12" customHeight="1" x14ac:dyDescent="0.25">
      <c r="B66" s="37"/>
      <c r="C66" s="38"/>
      <c r="D66" s="39"/>
      <c r="E66" s="39"/>
      <c r="F66" s="49" t="s">
        <v>71</v>
      </c>
      <c r="G66" s="49"/>
      <c r="H66" s="49"/>
      <c r="I66" s="13">
        <f>I25-I64</f>
        <v>-1128790.790000001</v>
      </c>
      <c r="J66" s="36"/>
    </row>
    <row r="67" spans="2:10" ht="12" customHeight="1" x14ac:dyDescent="0.25">
      <c r="B67" s="37"/>
      <c r="C67" s="38"/>
      <c r="D67" s="39"/>
      <c r="E67" s="39"/>
      <c r="F67" s="49" t="s">
        <v>21</v>
      </c>
      <c r="G67" s="49"/>
      <c r="H67" s="49"/>
      <c r="I67" s="13">
        <v>2944330</v>
      </c>
      <c r="J67" s="36"/>
    </row>
    <row r="68" spans="2:10" ht="12" customHeight="1" x14ac:dyDescent="0.25">
      <c r="B68" s="40"/>
      <c r="C68" s="40"/>
      <c r="D68" s="40"/>
      <c r="E68" s="40"/>
      <c r="F68" s="50" t="s">
        <v>73</v>
      </c>
      <c r="G68" s="51"/>
      <c r="H68" s="52"/>
      <c r="I68" s="13">
        <f>I66+I67</f>
        <v>1815539.209999999</v>
      </c>
      <c r="J68" s="41"/>
    </row>
    <row r="69" spans="2:10" x14ac:dyDescent="0.25">
      <c r="B69" s="40"/>
      <c r="C69" s="40"/>
      <c r="D69" s="40"/>
      <c r="E69" s="40"/>
      <c r="F69" s="42"/>
      <c r="G69" s="42"/>
      <c r="H69" s="42"/>
      <c r="I69" s="35"/>
      <c r="J69" s="41"/>
    </row>
    <row r="71" spans="2:10" ht="15.75" x14ac:dyDescent="0.25">
      <c r="B71" s="43" t="s">
        <v>22</v>
      </c>
      <c r="C71" s="43"/>
      <c r="D71" s="43"/>
      <c r="H71" s="18"/>
    </row>
    <row r="73" spans="2:10" x14ac:dyDescent="0.25">
      <c r="B73" s="1" t="s">
        <v>76</v>
      </c>
    </row>
    <row r="74" spans="2:10" x14ac:dyDescent="0.25">
      <c r="B74" s="1" t="s">
        <v>23</v>
      </c>
    </row>
    <row r="75" spans="2:10" x14ac:dyDescent="0.25">
      <c r="B75" s="1" t="s">
        <v>24</v>
      </c>
    </row>
    <row r="76" spans="2:10" x14ac:dyDescent="0.25">
      <c r="B76" s="1" t="s">
        <v>25</v>
      </c>
    </row>
    <row r="77" spans="2:10" x14ac:dyDescent="0.25">
      <c r="B77" s="1" t="s">
        <v>26</v>
      </c>
    </row>
    <row r="79" spans="2:10" x14ac:dyDescent="0.25">
      <c r="B79" s="1" t="s">
        <v>75</v>
      </c>
    </row>
    <row r="80" spans="2:10" x14ac:dyDescent="0.25">
      <c r="B80" s="1" t="s">
        <v>74</v>
      </c>
    </row>
    <row r="84" spans="3:7" x14ac:dyDescent="0.25">
      <c r="C84" t="s">
        <v>28</v>
      </c>
      <c r="G84" t="s">
        <v>30</v>
      </c>
    </row>
    <row r="85" spans="3:7" x14ac:dyDescent="0.25">
      <c r="C85" t="s">
        <v>29</v>
      </c>
      <c r="G85" t="s">
        <v>31</v>
      </c>
    </row>
  </sheetData>
  <mergeCells count="5">
    <mergeCell ref="B8:J8"/>
    <mergeCell ref="B9:H9"/>
    <mergeCell ref="F66:H66"/>
    <mergeCell ref="F67:H67"/>
    <mergeCell ref="F68:H68"/>
  </mergeCell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SŠ Bedekovčina</dc:creator>
  <cp:lastModifiedBy>Računovodstvo</cp:lastModifiedBy>
  <cp:lastPrinted>2022-07-13T08:38:50Z</cp:lastPrinted>
  <dcterms:created xsi:type="dcterms:W3CDTF">2022-01-28T07:37:17Z</dcterms:created>
  <dcterms:modified xsi:type="dcterms:W3CDTF">2022-07-13T08:40:51Z</dcterms:modified>
</cp:coreProperties>
</file>