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in. izvještaji\2022\"/>
    </mc:Choice>
  </mc:AlternateContent>
  <bookViews>
    <workbookView xWindow="0" yWindow="0" windowWidth="28800" windowHeight="1233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" i="1" l="1"/>
  <c r="E100" i="1"/>
  <c r="E102" i="1"/>
  <c r="I85" i="1"/>
  <c r="E113" i="1" l="1"/>
  <c r="G84" i="1"/>
  <c r="G85" i="1"/>
  <c r="N109" i="1" l="1"/>
  <c r="N111" i="1"/>
  <c r="N112" i="1"/>
  <c r="N98" i="1"/>
  <c r="N103" i="1"/>
  <c r="N106" i="1"/>
  <c r="N108" i="1"/>
  <c r="N80" i="1"/>
  <c r="N93" i="1"/>
  <c r="N67" i="1" l="1"/>
  <c r="N69" i="1"/>
  <c r="N70" i="1"/>
  <c r="N71" i="1"/>
  <c r="N72" i="1"/>
  <c r="N73" i="1"/>
  <c r="N49" i="1"/>
  <c r="N57" i="1"/>
  <c r="N58" i="1"/>
  <c r="N59" i="1"/>
  <c r="N60" i="1"/>
  <c r="N31" i="1"/>
  <c r="N32" i="1"/>
  <c r="N33" i="1"/>
  <c r="N34" i="1"/>
  <c r="N36" i="1"/>
  <c r="N38" i="1"/>
  <c r="N40" i="1"/>
  <c r="N41" i="1"/>
  <c r="G94" i="1"/>
  <c r="G90" i="1"/>
  <c r="G86" i="1"/>
  <c r="G113" i="1" l="1"/>
  <c r="G115" i="1" s="1"/>
  <c r="I100" i="1"/>
  <c r="I88" i="1"/>
  <c r="I95" i="1" l="1"/>
  <c r="I84" i="1"/>
  <c r="I113" i="1" l="1"/>
  <c r="I115" i="1" s="1"/>
  <c r="K113" i="1"/>
  <c r="K115" i="1" s="1"/>
  <c r="M113" i="1"/>
  <c r="M115" i="1" s="1"/>
  <c r="E74" i="1"/>
  <c r="E62" i="1"/>
  <c r="B3" i="2"/>
  <c r="E115" i="1" l="1"/>
  <c r="M42" i="1"/>
  <c r="M44" i="1" s="1"/>
  <c r="I42" i="1"/>
  <c r="I44" i="1" s="1"/>
  <c r="J42" i="1"/>
  <c r="J44" i="1" s="1"/>
  <c r="K42" i="1"/>
  <c r="K44" i="1" s="1"/>
  <c r="L42" i="1"/>
  <c r="L44" i="1" s="1"/>
  <c r="E42" i="1"/>
  <c r="G42" i="1"/>
  <c r="G44" i="1" s="1"/>
  <c r="E44" i="1" l="1"/>
  <c r="F15" i="1"/>
  <c r="F17" i="1"/>
  <c r="F18" i="1"/>
  <c r="F14" i="1"/>
  <c r="E19" i="1"/>
  <c r="D19" i="1"/>
  <c r="E16" i="1"/>
  <c r="D16" i="1"/>
  <c r="E20" i="1" l="1"/>
  <c r="E22" i="1" s="1"/>
  <c r="F19" i="1"/>
  <c r="D20" i="1"/>
  <c r="D22" i="1" s="1"/>
  <c r="F16" i="1"/>
  <c r="O94" i="1"/>
  <c r="O93" i="1"/>
  <c r="O91" i="1"/>
  <c r="O90" i="1"/>
  <c r="D90" i="1"/>
  <c r="O87" i="1"/>
  <c r="O86" i="1"/>
  <c r="D86" i="1"/>
  <c r="O85" i="1"/>
  <c r="D85" i="1"/>
  <c r="O84" i="1"/>
  <c r="D84" i="1"/>
  <c r="O110" i="1"/>
  <c r="D110" i="1"/>
  <c r="N110" i="1" s="1"/>
  <c r="O105" i="1"/>
  <c r="O96" i="1"/>
  <c r="D96" i="1"/>
  <c r="N96" i="1" s="1"/>
  <c r="O83" i="1"/>
  <c r="O82" i="1"/>
  <c r="D82" i="1"/>
  <c r="N82" i="1" s="1"/>
  <c r="O68" i="1"/>
  <c r="O66" i="1"/>
  <c r="F74" i="1"/>
  <c r="H74" i="1"/>
  <c r="J74" i="1"/>
  <c r="L74" i="1"/>
  <c r="F62" i="1"/>
  <c r="H62" i="1"/>
  <c r="J62" i="1"/>
  <c r="L62" i="1"/>
  <c r="O54" i="1"/>
  <c r="O52" i="1"/>
  <c r="O50" i="1"/>
  <c r="L113" i="1"/>
  <c r="J113" i="1"/>
  <c r="P112" i="1"/>
  <c r="P111" i="1"/>
  <c r="P109" i="1"/>
  <c r="P108" i="1"/>
  <c r="O106" i="1"/>
  <c r="H105" i="1"/>
  <c r="O104" i="1"/>
  <c r="H104" i="1"/>
  <c r="N104" i="1" s="1"/>
  <c r="P103" i="1"/>
  <c r="O102" i="1"/>
  <c r="H102" i="1"/>
  <c r="N102" i="1" s="1"/>
  <c r="O101" i="1"/>
  <c r="H101" i="1"/>
  <c r="N101" i="1" s="1"/>
  <c r="O100" i="1"/>
  <c r="H100" i="1"/>
  <c r="O99" i="1"/>
  <c r="H99" i="1"/>
  <c r="N99" i="1" s="1"/>
  <c r="O98" i="1"/>
  <c r="O97" i="1"/>
  <c r="H97" i="1"/>
  <c r="D97" i="1"/>
  <c r="O95" i="1"/>
  <c r="H95" i="1"/>
  <c r="N95" i="1" s="1"/>
  <c r="H94" i="1"/>
  <c r="F94" i="1"/>
  <c r="O92" i="1"/>
  <c r="H92" i="1"/>
  <c r="N92" i="1" s="1"/>
  <c r="H91" i="1"/>
  <c r="N91" i="1" s="1"/>
  <c r="H90" i="1"/>
  <c r="F90" i="1"/>
  <c r="O89" i="1"/>
  <c r="H89" i="1"/>
  <c r="N89" i="1" s="1"/>
  <c r="O88" i="1"/>
  <c r="H88" i="1"/>
  <c r="N88" i="1" s="1"/>
  <c r="H87" i="1"/>
  <c r="N87" i="1" s="1"/>
  <c r="H86" i="1"/>
  <c r="F86" i="1"/>
  <c r="H85" i="1"/>
  <c r="F85" i="1"/>
  <c r="H84" i="1"/>
  <c r="F84" i="1"/>
  <c r="H83" i="1"/>
  <c r="N83" i="1" s="1"/>
  <c r="O81" i="1"/>
  <c r="H81" i="1"/>
  <c r="N81" i="1" s="1"/>
  <c r="O80" i="1"/>
  <c r="O79" i="1"/>
  <c r="D79" i="1"/>
  <c r="N79" i="1" s="1"/>
  <c r="O78" i="1"/>
  <c r="D78" i="1"/>
  <c r="N78" i="1" s="1"/>
  <c r="N94" i="1" l="1"/>
  <c r="P94" i="1" s="1"/>
  <c r="N97" i="1"/>
  <c r="P97" i="1" s="1"/>
  <c r="N86" i="1"/>
  <c r="N100" i="1"/>
  <c r="P100" i="1" s="1"/>
  <c r="N85" i="1"/>
  <c r="P85" i="1" s="1"/>
  <c r="N84" i="1"/>
  <c r="P84" i="1" s="1"/>
  <c r="N105" i="1"/>
  <c r="P105" i="1" s="1"/>
  <c r="N90" i="1"/>
  <c r="P90" i="1" s="1"/>
  <c r="P78" i="1"/>
  <c r="P101" i="1"/>
  <c r="L115" i="1"/>
  <c r="O74" i="1"/>
  <c r="P96" i="1"/>
  <c r="P104" i="1"/>
  <c r="J115" i="1"/>
  <c r="P79" i="1"/>
  <c r="P102" i="1"/>
  <c r="O62" i="1"/>
  <c r="P86" i="1"/>
  <c r="P99" i="1"/>
  <c r="P87" i="1"/>
  <c r="P89" i="1"/>
  <c r="P88" i="1"/>
  <c r="F113" i="1"/>
  <c r="F115" i="1" s="1"/>
  <c r="P91" i="1"/>
  <c r="P93" i="1"/>
  <c r="O113" i="1"/>
  <c r="P98" i="1"/>
  <c r="P106" i="1"/>
  <c r="P92" i="1"/>
  <c r="P80" i="1"/>
  <c r="P95" i="1"/>
  <c r="P82" i="1"/>
  <c r="P81" i="1"/>
  <c r="P83" i="1"/>
  <c r="P110" i="1"/>
  <c r="H113" i="1"/>
  <c r="H115" i="1" s="1"/>
  <c r="D113" i="1"/>
  <c r="O115" i="1" l="1"/>
  <c r="N113" i="1"/>
  <c r="P113" i="1" s="1"/>
  <c r="D68" i="1" l="1"/>
  <c r="N68" i="1" s="1"/>
  <c r="D66" i="1"/>
  <c r="N66" i="1" s="1"/>
  <c r="P73" i="1"/>
  <c r="P71" i="1"/>
  <c r="P69" i="1"/>
  <c r="P67" i="1"/>
  <c r="D61" i="1"/>
  <c r="N61" i="1" s="1"/>
  <c r="D56" i="1"/>
  <c r="N56" i="1" s="1"/>
  <c r="D55" i="1"/>
  <c r="N55" i="1" s="1"/>
  <c r="D54" i="1"/>
  <c r="N54" i="1" s="1"/>
  <c r="D53" i="1"/>
  <c r="N53" i="1" s="1"/>
  <c r="D52" i="1"/>
  <c r="N52" i="1" s="1"/>
  <c r="D51" i="1"/>
  <c r="N51" i="1" s="1"/>
  <c r="D50" i="1"/>
  <c r="N50" i="1" s="1"/>
  <c r="D48" i="1"/>
  <c r="N48" i="1" s="1"/>
  <c r="P58" i="1"/>
  <c r="N74" i="1" l="1"/>
  <c r="P74" i="1" s="1"/>
  <c r="P66" i="1"/>
  <c r="P68" i="1"/>
  <c r="P70" i="1"/>
  <c r="P72" i="1"/>
  <c r="D74" i="1"/>
  <c r="D62" i="1"/>
  <c r="P54" i="1"/>
  <c r="P57" i="1"/>
  <c r="P59" i="1"/>
  <c r="P50" i="1"/>
  <c r="P52" i="1"/>
  <c r="P53" i="1"/>
  <c r="P51" i="1"/>
  <c r="P49" i="1"/>
  <c r="P61" i="1"/>
  <c r="P48" i="1"/>
  <c r="P55" i="1"/>
  <c r="P56" i="1"/>
  <c r="O39" i="1"/>
  <c r="O37" i="1"/>
  <c r="O35" i="1"/>
  <c r="O30" i="1"/>
  <c r="H37" i="1"/>
  <c r="D39" i="1"/>
  <c r="N39" i="1" s="1"/>
  <c r="F35" i="1"/>
  <c r="N35" i="1" l="1"/>
  <c r="F42" i="1"/>
  <c r="N37" i="1"/>
  <c r="H42" i="1"/>
  <c r="D115" i="1"/>
  <c r="N62" i="1"/>
  <c r="O42" i="1"/>
  <c r="O117" i="1" s="1"/>
  <c r="D30" i="1"/>
  <c r="N30" i="1" s="1"/>
  <c r="P62" i="1" l="1"/>
  <c r="N115" i="1"/>
  <c r="D43" i="1"/>
  <c r="N43" i="1" s="1"/>
  <c r="H44" i="1" l="1"/>
  <c r="F44" i="1"/>
  <c r="D42" i="1" l="1"/>
  <c r="D44" i="1" s="1"/>
  <c r="O44" i="1"/>
  <c r="P37" i="1"/>
  <c r="P41" i="1"/>
  <c r="P39" i="1"/>
  <c r="P38" i="1"/>
  <c r="P36" i="1"/>
  <c r="P35" i="1"/>
  <c r="P34" i="1"/>
  <c r="P31" i="1"/>
  <c r="P30" i="1"/>
  <c r="N42" i="1" l="1"/>
  <c r="O119" i="1"/>
  <c r="P42" i="1" l="1"/>
  <c r="N44" i="1"/>
</calcChain>
</file>

<file path=xl/sharedStrings.xml><?xml version="1.0" encoding="utf-8"?>
<sst xmlns="http://schemas.openxmlformats.org/spreadsheetml/2006/main" count="153" uniqueCount="113">
  <si>
    <t xml:space="preserve">SREDNJA ŠKOLA BEDEKOVČINA </t>
  </si>
  <si>
    <t>Ljudevita Gaja 1</t>
  </si>
  <si>
    <t>OPĆI PRIHODI I PRIMICI</t>
  </si>
  <si>
    <t>VLASTITI PRIHODI</t>
  </si>
  <si>
    <t>NEF. IMOVINA</t>
  </si>
  <si>
    <t>UKUPNO PLAN</t>
  </si>
  <si>
    <t>IZVRŠENJE</t>
  </si>
  <si>
    <t xml:space="preserve">INDEKS </t>
  </si>
  <si>
    <t>PRIHODI POSLOVANJA</t>
  </si>
  <si>
    <t>Pomoći pr. kor. iz pr. koji im nije nadležan</t>
  </si>
  <si>
    <t>Pomoći temeljem prijenosa EU sredstava</t>
  </si>
  <si>
    <t>Prihodi od nefinancijske imovine</t>
  </si>
  <si>
    <t>Prihodi po posebnim propisima</t>
  </si>
  <si>
    <t>Donacije od pravnih i fizičkih osoba</t>
  </si>
  <si>
    <t xml:space="preserve">Prihodi iz nadležnog proračuna </t>
  </si>
  <si>
    <t>Ostali prihodi</t>
  </si>
  <si>
    <t>UKUPNO</t>
  </si>
  <si>
    <t>RASHODI POSLOVANJA</t>
  </si>
  <si>
    <t>Ostali rashodi za zaposlene</t>
  </si>
  <si>
    <t>Preneseni višak iz prethodnih godina</t>
  </si>
  <si>
    <t>Obrazloženje izvještaja o izvršenju financijskog plana</t>
  </si>
  <si>
    <t>-</t>
  </si>
  <si>
    <t>Ravnateljica:</t>
  </si>
  <si>
    <t>Vera Hrvoj, univ.spec.pol.</t>
  </si>
  <si>
    <t>Naknade tr. osobama izvan rad. odnosa</t>
  </si>
  <si>
    <t>Prih. od prodaje proizv. i robe</t>
  </si>
  <si>
    <t>Prih. od pruž. usluga</t>
  </si>
  <si>
    <t>Kamate na depozite po viđenju</t>
  </si>
  <si>
    <t>Naknade za prijevoz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</si>
  <si>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</si>
  <si>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</si>
  <si>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</si>
  <si>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</si>
  <si>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</si>
  <si>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</si>
  <si>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Zakupnine i najamnine</t>
  </si>
  <si>
    <t>Računalne usluge</t>
  </si>
  <si>
    <t>Bankarske usluge i usluge platnog prometa</t>
  </si>
  <si>
    <t>Uređaji, strojevi i oprema za ost. namjene</t>
  </si>
  <si>
    <t>Doprinosi za zdravstveno osiguranje</t>
  </si>
  <si>
    <t>Službena putovanja</t>
  </si>
  <si>
    <t>Sitni inventar</t>
  </si>
  <si>
    <t>Služb., radna i zažt. odjeća i obuća</t>
  </si>
  <si>
    <t>Intelektualne i osobne usluge</t>
  </si>
  <si>
    <t>Ostale usluge</t>
  </si>
  <si>
    <t>Premije osiguranja</t>
  </si>
  <si>
    <t>Reprezentacija</t>
  </si>
  <si>
    <t>Pristojbe i naknade</t>
  </si>
  <si>
    <t>Troškovi sudskih postupaka</t>
  </si>
  <si>
    <t>Zatezne kamate</t>
  </si>
  <si>
    <t>Ostali građevinski objekti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</si>
  <si>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</si>
  <si>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</si>
  <si>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</si>
  <si>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</si>
  <si>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</si>
  <si>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Ostali nesp. rash. poslovanja</t>
  </si>
  <si>
    <t>Ulaganja u računalne programe</t>
  </si>
  <si>
    <t>49221 Bedekovčina</t>
  </si>
  <si>
    <t>Licence</t>
  </si>
  <si>
    <t>Bedekovčina, 30.1.2023.</t>
  </si>
  <si>
    <t>IZVJEŠTAJ O IZVRŠENJU FINANCIJSKOG PLANA ZA 2022. ZA SREDNJU ŠKOLU BEDEKOVČINA I UČENIČKI DOM</t>
  </si>
  <si>
    <t>KLASA: 400-04/23-01/02</t>
  </si>
  <si>
    <t>URBROJ: 2140-86-23-1</t>
  </si>
  <si>
    <t>DONACIJE</t>
  </si>
  <si>
    <t>Prihodi od pozitivnih tečajnih razlika</t>
  </si>
  <si>
    <t>Knjige u knjižnici</t>
  </si>
  <si>
    <t>Plaće za zaposlene</t>
  </si>
  <si>
    <t>Višak/manjak prihoda za razdoblje 1.1.- 31.12.2022.</t>
  </si>
  <si>
    <t>Ukupno višak/manjak prihoda na dan 31.12.2022.</t>
  </si>
  <si>
    <t>Zdravstveni pregledi</t>
  </si>
  <si>
    <t>PLAN ZA 2022.</t>
  </si>
  <si>
    <t>Program 1001 Srednješkolsko obrazovanje-zakonski standard</t>
  </si>
  <si>
    <t>RASHODI ZA NABAVU NEF. IMOVINE</t>
  </si>
  <si>
    <t>Program 1002 Učenički dom - zakonski standard</t>
  </si>
  <si>
    <t>UKUPNO RASHODI</t>
  </si>
  <si>
    <t>Program 1003 Dopunski nastavni i vannastavni program škola i obrazovnih institucija</t>
  </si>
  <si>
    <t>Opći dio</t>
  </si>
  <si>
    <t>Posebni dio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</si>
  <si>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</si>
  <si>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</si>
  <si>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</si>
  <si>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</si>
  <si>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</si>
  <si>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PLAN 2022.</t>
  </si>
  <si>
    <t>INDEKS</t>
  </si>
  <si>
    <t>VIŠAK/MANJAK</t>
  </si>
  <si>
    <t>UKUPNO VIŠAK/MANJAK</t>
  </si>
  <si>
    <t>Značajno odstupanje od planiranih vrijednosti bilježimo na sljedećim stavkama:</t>
  </si>
  <si>
    <t xml:space="preserve">- pomoći temeljem prijenosa EU sredstava - povećanje zbog završnih uplata po projektima koji su završili i uplata po novim projektima ERASMUS+ </t>
  </si>
  <si>
    <t>- prihodi od prodaje proizvoda - povećanje zbog prodaje veće količine proizvoda praktične nastave od planiranih</t>
  </si>
  <si>
    <t>- usluge prijevoza - povećanje zbog realizacije aktivnosti po projektima ERASMUS+ koje su planirane na ostalim uslugama</t>
  </si>
  <si>
    <t>- knjige - povećanje zbog nabave knjiga za lektiru za što su sredstva uplaćena iz državnog proračuna, a nisu bila planirana</t>
  </si>
  <si>
    <t>- decentralizacija škola - 1.546.960 kn</t>
  </si>
  <si>
    <t>- decentralizacija dom - 627.846 kn</t>
  </si>
  <si>
    <t>Prihodi od Županije - ukupno decentralizacija i ostalo - 2.380.830,44 kn</t>
  </si>
  <si>
    <t>- projekt Baltazar - 154.478,26 kn</t>
  </si>
  <si>
    <t>- školska shema - 24.083,78 kn</t>
  </si>
  <si>
    <t>- natjecanja - 8.017,00 kn</t>
  </si>
  <si>
    <t>- e-tehničar - 4.320,00 kn</t>
  </si>
  <si>
    <t>Ukupno decentralizacija - 2.174.806,00 kn</t>
  </si>
  <si>
    <t>- ostali prihodi - 15.125,40 kn (uplata za energente, za program Kreiraj svoju budućnost i za fakultativni predmet Škola i zajednica)</t>
  </si>
  <si>
    <t xml:space="preserve">Sredstva uplaćena od Županije namjenski su utrošena, osim iznosa od 5.000,00 kn (uplaćeno na kraju godine za fakultativni predmet Škola i zajednica) </t>
  </si>
  <si>
    <t>koji će biti raspoređen na rashode u 2023. godini prema realizaciji aktivnosti.</t>
  </si>
  <si>
    <t>PRIH. POSEBNE NAMJENE</t>
  </si>
  <si>
    <t>UKUPNO IZVRŠENJE</t>
  </si>
  <si>
    <t>Ukupno ostali prihodi od Županije - 206.024,44 kn</t>
  </si>
  <si>
    <t>Prihodi od prodaje stambenih objekata</t>
  </si>
  <si>
    <t>Izvršenje prihoda i rashoda iskazano je prema izvorima financiranja. Opći prihodi i primici obuhvaćaju prihode iz državnog proračuna, decentralizirana i dopunska sredstva iz proračuna Krapinsko-zagorske županije.</t>
  </si>
  <si>
    <t>U prihode posebne namjene ulaze prihodi od sufinanciranja troškova smještaja učenika u učeničkom domu, participacije školarina i prihodi od izrade duplikata svjedodžbi. Vlastiti prihodi odnose se na prihode od pružanja</t>
  </si>
  <si>
    <t>Za razdoblje od 1.1. do 31.12.2022. evidentirani su prihodi u iznosu od  24.425.582,18 kn i rashodi u iznosu od 25.405.545,24 kn. Kada dobivenom manjku od 979.963,06 kn dodamo preneseni višak iz prethodnih godina,</t>
  </si>
  <si>
    <t>usluga (obrazovanje odraslih, laboratorij za ispitivanje materijala, pedološki labratorij, najam prostora škole) i prihode od zakupa zemljišta. Prihodi od nefinancijske imovine su prihodi od stanova.</t>
  </si>
  <si>
    <t xml:space="preserve">ukupan višak prihoda raspoloživ u sljedećem razdoblju iznosi 1.964.366,68 kn.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</si>
</sst>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6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5" fillId="0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0" fillId="2" borderId="0" xfId="0" applyFill="1"/>
    <xf numFmtId="0" fontId="5" fillId="2" borderId="0" xfId="0" applyFont="1" applyFill="1" applyBorder="1"/>
    <xf numFmtId="0" fontId="2" fillId="2" borderId="0" xfId="0" applyFont="1" applyFill="1" applyBorder="1"/>
    <xf numFmtId="4" fontId="2" fillId="2" borderId="0" xfId="0" applyNumberFormat="1" applyFont="1" applyFill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3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6" fillId="2" borderId="1" xfId="4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0" fontId="5" fillId="0" borderId="1" xfId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4" fontId="0" fillId="0" borderId="0" xfId="0" applyNumberFormat="1" applyAlignment="1"/>
    <xf numFmtId="0" fontId="5" fillId="2" borderId="1" xfId="3" applyFont="1" applyFill="1" applyBorder="1" applyAlignment="1">
      <alignment horizontal="left" vertical="center"/>
    </xf>
    <xf numFmtId="0" fontId="1" fillId="0" borderId="0" xfId="0" applyFont="1" applyAlignment="1"/>
    <xf numFmtId="0" fontId="0" fillId="2" borderId="0" xfId="0" applyFill="1" applyAlignment="1"/>
    <xf numFmtId="0" fontId="10" fillId="0" borderId="0" xfId="0" applyFont="1" applyAlignment="1">
      <alignment horizontal="center"/>
    </xf>
    <xf numFmtId="0" fontId="0" fillId="0" borderId="0" xfId="0" applyFont="1"/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2" fillId="0" borderId="2" xfId="0" applyFont="1" applyBorder="1" applyAlignment="1"/>
    <xf numFmtId="4" fontId="5" fillId="0" borderId="2" xfId="0" applyNumberFormat="1" applyFont="1" applyBorder="1" applyAlignment="1">
      <alignment horizontal="right"/>
    </xf>
    <xf numFmtId="0" fontId="2" fillId="0" borderId="10" xfId="0" applyFont="1" applyBorder="1" applyAlignment="1"/>
    <xf numFmtId="4" fontId="2" fillId="0" borderId="1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2" borderId="10" xfId="0" applyFont="1" applyFill="1" applyBorder="1" applyAlignment="1"/>
    <xf numFmtId="0" fontId="2" fillId="2" borderId="10" xfId="0" applyFont="1" applyFill="1" applyBorder="1" applyAlignment="1"/>
    <xf numFmtId="0" fontId="2" fillId="0" borderId="13" xfId="0" applyFont="1" applyBorder="1" applyAlignment="1"/>
    <xf numFmtId="4" fontId="2" fillId="0" borderId="11" xfId="0" applyNumberFormat="1" applyFont="1" applyBorder="1" applyAlignment="1">
      <alignment horizontal="center"/>
    </xf>
    <xf numFmtId="0" fontId="2" fillId="0" borderId="10" xfId="0" applyFont="1" applyBorder="1"/>
    <xf numFmtId="0" fontId="5" fillId="0" borderId="10" xfId="0" applyFont="1" applyBorder="1"/>
    <xf numFmtId="0" fontId="5" fillId="2" borderId="10" xfId="0" applyFont="1" applyFill="1" applyBorder="1"/>
    <xf numFmtId="0" fontId="2" fillId="2" borderId="10" xfId="0" applyFont="1" applyFill="1" applyBorder="1"/>
    <xf numFmtId="0" fontId="5" fillId="2" borderId="14" xfId="0" applyFont="1" applyFill="1" applyBorder="1"/>
    <xf numFmtId="0" fontId="2" fillId="2" borderId="15" xfId="0" applyFont="1" applyFill="1" applyBorder="1"/>
    <xf numFmtId="4" fontId="2" fillId="2" borderId="15" xfId="0" applyNumberFormat="1" applyFont="1" applyFill="1" applyBorder="1"/>
    <xf numFmtId="4" fontId="2" fillId="0" borderId="16" xfId="0" applyNumberFormat="1" applyFont="1" applyBorder="1" applyAlignment="1">
      <alignment horizontal="center"/>
    </xf>
    <xf numFmtId="4" fontId="5" fillId="0" borderId="17" xfId="0" applyNumberFormat="1" applyFont="1" applyBorder="1"/>
    <xf numFmtId="4" fontId="5" fillId="0" borderId="12" xfId="0" applyNumberFormat="1" applyFont="1" applyBorder="1"/>
    <xf numFmtId="4" fontId="5" fillId="0" borderId="16" xfId="0" applyNumberFormat="1" applyFont="1" applyBorder="1"/>
    <xf numFmtId="0" fontId="3" fillId="0" borderId="14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4" fontId="7" fillId="0" borderId="15" xfId="0" applyNumberFormat="1" applyFont="1" applyBorder="1" applyAlignment="1">
      <alignment horizontal="right"/>
    </xf>
    <xf numFmtId="0" fontId="5" fillId="2" borderId="14" xfId="0" applyFont="1" applyFill="1" applyBorder="1" applyAlignment="1"/>
    <xf numFmtId="0" fontId="11" fillId="2" borderId="15" xfId="4" applyFont="1" applyFill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0" fontId="5" fillId="2" borderId="25" xfId="0" applyFont="1" applyFill="1" applyBorder="1"/>
    <xf numFmtId="0" fontId="2" fillId="2" borderId="26" xfId="0" applyFont="1" applyFill="1" applyBorder="1"/>
    <xf numFmtId="4" fontId="2" fillId="2" borderId="26" xfId="0" applyNumberFormat="1" applyFont="1" applyFill="1" applyBorder="1"/>
    <xf numFmtId="4" fontId="2" fillId="0" borderId="27" xfId="0" applyNumberFormat="1" applyFont="1" applyBorder="1" applyAlignment="1">
      <alignment horizontal="center"/>
    </xf>
    <xf numFmtId="0" fontId="5" fillId="2" borderId="28" xfId="0" applyFont="1" applyFill="1" applyBorder="1"/>
    <xf numFmtId="0" fontId="2" fillId="2" borderId="29" xfId="0" applyFont="1" applyFill="1" applyBorder="1"/>
    <xf numFmtId="4" fontId="2" fillId="2" borderId="29" xfId="0" applyNumberFormat="1" applyFont="1" applyFill="1" applyBorder="1"/>
    <xf numFmtId="4" fontId="2" fillId="0" borderId="30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14" fillId="0" borderId="0" xfId="0" applyFont="1"/>
    <xf numFmtId="4" fontId="5" fillId="0" borderId="2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2" fillId="0" borderId="1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4" fontId="5" fillId="0" borderId="11" xfId="0" applyNumberFormat="1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4" fontId="5" fillId="0" borderId="26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" fontId="2" fillId="0" borderId="29" xfId="0" applyNumberFormat="1" applyFont="1" applyBorder="1" applyAlignment="1">
      <alignment horizontal="center"/>
    </xf>
    <xf numFmtId="0" fontId="15" fillId="0" borderId="0" xfId="0" applyFont="1"/>
    <xf numFmtId="49" fontId="14" fillId="0" borderId="0" xfId="0" applyNumberFormat="1" applyFont="1"/>
    <xf numFmtId="4" fontId="2" fillId="0" borderId="0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17" fillId="0" borderId="0" xfId="0" applyNumberFormat="1" applyFont="1"/>
    <xf numFmtId="1" fontId="2" fillId="0" borderId="13" xfId="0" applyNumberFormat="1" applyFont="1" applyBorder="1" applyAlignment="1"/>
    <xf numFmtId="1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4" fontId="2" fillId="3" borderId="15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 wrapText="1"/>
    </xf>
    <xf numFmtId="3" fontId="2" fillId="3" borderId="32" xfId="0" applyNumberFormat="1" applyFont="1" applyFill="1" applyBorder="1" applyAlignment="1">
      <alignment horizontal="center" wrapText="1"/>
    </xf>
    <xf numFmtId="4" fontId="5" fillId="0" borderId="3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3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2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7" fillId="4" borderId="15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/>
    <xf numFmtId="4" fontId="2" fillId="4" borderId="15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4" borderId="1" xfId="0" applyFont="1" applyFill="1" applyBorder="1" applyAlignment="1"/>
    <xf numFmtId="0" fontId="5" fillId="4" borderId="2" xfId="0" applyFont="1" applyFill="1" applyBorder="1" applyAlignment="1"/>
    <xf numFmtId="4" fontId="2" fillId="4" borderId="15" xfId="0" applyNumberFormat="1" applyFont="1" applyFill="1" applyBorder="1"/>
    <xf numFmtId="4" fontId="2" fillId="4" borderId="26" xfId="0" applyNumberFormat="1" applyFont="1" applyFill="1" applyBorder="1"/>
    <xf numFmtId="4" fontId="2" fillId="4" borderId="29" xfId="0" applyNumberFormat="1" applyFont="1" applyFill="1" applyBorder="1"/>
    <xf numFmtId="0" fontId="5" fillId="4" borderId="1" xfId="0" applyFont="1" applyFill="1" applyBorder="1"/>
    <xf numFmtId="4" fontId="5" fillId="4" borderId="1" xfId="0" applyNumberFormat="1" applyFont="1" applyFill="1" applyBorder="1"/>
    <xf numFmtId="4" fontId="5" fillId="4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5" fillId="4" borderId="26" xfId="0" applyNumberFormat="1" applyFont="1" applyFill="1" applyBorder="1" applyAlignment="1">
      <alignment horizontal="center"/>
    </xf>
    <xf numFmtId="4" fontId="2" fillId="4" borderId="2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5">
    <cellStyle name="Normalno" xfId="0" builtinId="0"/>
    <cellStyle name="Obično_List4" xfId="3"/>
    <cellStyle name="Obično_List5" xfId="4"/>
    <cellStyle name="Obično_List7" xfId="1"/>
    <cellStyle name="Obično_List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59"/>
  <sheetViews>
    <sheetView tabSelected="1" topLeftCell="A118" workbookViewId="0">
      <selection activeCell="D150" sqref="D150"/>
    </sheetView>
  </sheetViews>
  <sheetFormatPr defaultRowHeight="15" x14ac:dyDescent="0.25"/>
  <cols>
    <col min="1" max="1" width="0.5703125" customWidth="1"/>
    <col min="2" max="2" width="4.7109375" customWidth="1"/>
    <col min="3" max="3" width="29.28515625" customWidth="1"/>
    <col min="4" max="4" width="12.5703125" customWidth="1"/>
    <col min="5" max="5" width="12.140625" customWidth="1"/>
    <col min="6" max="7" width="12.42578125" customWidth="1"/>
    <col min="8" max="8" width="13" customWidth="1"/>
    <col min="9" max="9" width="12.140625" customWidth="1"/>
    <col min="10" max="10" width="11.7109375" customWidth="1"/>
    <col min="11" max="11" width="10.42578125" customWidth="1"/>
    <col min="12" max="14" width="11.5703125" customWidth="1"/>
    <col min="15" max="15" width="11" customWidth="1"/>
    <col min="16" max="16" width="8.140625" customWidth="1"/>
  </cols>
  <sheetData>
    <row r="1" spans="2:16" ht="4.5" customHeight="1" x14ac:dyDescent="0.25"/>
    <row r="2" spans="2:16" x14ac:dyDescent="0.25">
      <c r="B2" s="80" t="s">
        <v>0</v>
      </c>
      <c r="C2" s="10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2:16" x14ac:dyDescent="0.25">
      <c r="B3" s="80" t="s">
        <v>1</v>
      </c>
      <c r="C3" s="10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2:16" x14ac:dyDescent="0.25">
      <c r="B4" s="80" t="s">
        <v>58</v>
      </c>
      <c r="C4" s="10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2:16" x14ac:dyDescent="0.25">
      <c r="B5" s="80" t="s">
        <v>62</v>
      </c>
      <c r="C5" s="100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6" x14ac:dyDescent="0.25">
      <c r="B6" s="80" t="s">
        <v>63</v>
      </c>
      <c r="C6" s="10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2:16" x14ac:dyDescent="0.25">
      <c r="B7" s="80" t="s">
        <v>60</v>
      </c>
      <c r="C7" s="10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2:16" x14ac:dyDescent="0.25">
      <c r="B8" s="9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2:16" s="40" customFormat="1" ht="15" customHeight="1" x14ac:dyDescent="0.25">
      <c r="B9" s="150" t="s">
        <v>61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2:16" s="40" customFormat="1" ht="15" customHeight="1" x14ac:dyDescent="0.25">
      <c r="B10" s="39"/>
      <c r="C10" s="39"/>
      <c r="D10" s="39"/>
      <c r="E10" s="101"/>
      <c r="F10" s="39"/>
      <c r="G10" s="101"/>
      <c r="H10" s="39"/>
      <c r="I10" s="101"/>
      <c r="J10" s="39"/>
      <c r="K10" s="101"/>
      <c r="L10" s="39"/>
      <c r="M10" s="101"/>
      <c r="N10" s="39"/>
      <c r="O10" s="39"/>
      <c r="P10" s="39"/>
    </row>
    <row r="11" spans="2:16" ht="15" customHeight="1" x14ac:dyDescent="0.25">
      <c r="B11" s="79" t="s">
        <v>77</v>
      </c>
      <c r="C11" s="28"/>
      <c r="D11" s="28"/>
      <c r="E11" s="102"/>
      <c r="F11" s="28"/>
      <c r="G11" s="102"/>
      <c r="H11" s="28"/>
      <c r="I11" s="102"/>
      <c r="J11" s="28"/>
      <c r="K11" s="102"/>
      <c r="L11" s="28"/>
      <c r="M11" s="102"/>
      <c r="N11" s="28"/>
    </row>
    <row r="12" spans="2:16" ht="15" customHeight="1" thickBot="1" x14ac:dyDescent="0.3">
      <c r="B12" s="79"/>
      <c r="C12" s="29"/>
      <c r="D12" s="29"/>
      <c r="E12" s="102"/>
      <c r="F12" s="29"/>
      <c r="G12" s="102"/>
      <c r="H12" s="29"/>
      <c r="I12" s="102"/>
      <c r="J12" s="29"/>
      <c r="K12" s="102"/>
      <c r="L12" s="29"/>
      <c r="M12" s="102"/>
      <c r="N12" s="29"/>
    </row>
    <row r="13" spans="2:16" ht="15" customHeight="1" thickBot="1" x14ac:dyDescent="0.3">
      <c r="B13" s="79"/>
      <c r="C13" s="115"/>
      <c r="D13" s="116" t="s">
        <v>84</v>
      </c>
      <c r="E13" s="116" t="s">
        <v>6</v>
      </c>
      <c r="F13" s="117" t="s">
        <v>85</v>
      </c>
      <c r="G13" s="19"/>
      <c r="H13" s="29"/>
      <c r="I13" s="102"/>
      <c r="J13" s="29"/>
      <c r="K13" s="102"/>
      <c r="L13" s="29"/>
    </row>
    <row r="14" spans="2:16" ht="15" customHeight="1" x14ac:dyDescent="0.25">
      <c r="B14" s="79"/>
      <c r="C14" s="88" t="s">
        <v>79</v>
      </c>
      <c r="D14" s="83">
        <v>23965862</v>
      </c>
      <c r="E14" s="170">
        <v>24422897.140000001</v>
      </c>
      <c r="F14" s="89">
        <f t="shared" ref="F14:F19" si="0">E14/D14*100</f>
        <v>101.90702566842786</v>
      </c>
      <c r="G14" s="103"/>
      <c r="H14" s="29"/>
      <c r="I14" s="102"/>
      <c r="J14" s="29"/>
      <c r="K14" s="102"/>
      <c r="L14" s="29"/>
    </row>
    <row r="15" spans="2:16" ht="15" customHeight="1" x14ac:dyDescent="0.25">
      <c r="B15" s="79"/>
      <c r="C15" s="84" t="s">
        <v>80</v>
      </c>
      <c r="D15" s="30">
        <v>2500</v>
      </c>
      <c r="E15" s="171">
        <v>2685.04</v>
      </c>
      <c r="F15" s="89">
        <f t="shared" si="0"/>
        <v>107.4016</v>
      </c>
      <c r="G15" s="103"/>
      <c r="H15" s="29"/>
      <c r="I15" s="102"/>
      <c r="J15" s="29"/>
      <c r="K15" s="102"/>
      <c r="L15" s="29"/>
    </row>
    <row r="16" spans="2:16" ht="15" customHeight="1" x14ac:dyDescent="0.25">
      <c r="B16" s="79"/>
      <c r="C16" s="85" t="s">
        <v>81</v>
      </c>
      <c r="D16" s="3">
        <f>SUM(D14+D15)</f>
        <v>23968362</v>
      </c>
      <c r="E16" s="152">
        <f>SUM(E14+E15)</f>
        <v>24425582.18</v>
      </c>
      <c r="F16" s="89">
        <f t="shared" si="0"/>
        <v>101.90759877541905</v>
      </c>
      <c r="G16" s="103"/>
      <c r="H16" s="29"/>
      <c r="I16" s="102"/>
      <c r="J16" s="29"/>
      <c r="K16" s="102"/>
      <c r="L16" s="29"/>
    </row>
    <row r="17" spans="2:16" ht="15" customHeight="1" x14ac:dyDescent="0.25">
      <c r="B17" s="79"/>
      <c r="C17" s="84" t="s">
        <v>82</v>
      </c>
      <c r="D17" s="30">
        <v>25591579</v>
      </c>
      <c r="E17" s="171">
        <v>25022443.75</v>
      </c>
      <c r="F17" s="89">
        <f t="shared" si="0"/>
        <v>97.776083882905382</v>
      </c>
      <c r="G17" s="103"/>
      <c r="H17" s="29"/>
      <c r="I17" s="102"/>
      <c r="J17" s="29"/>
      <c r="K17" s="102"/>
      <c r="L17" s="29"/>
    </row>
    <row r="18" spans="2:16" ht="15" customHeight="1" x14ac:dyDescent="0.25">
      <c r="B18" s="79"/>
      <c r="C18" s="84" t="s">
        <v>83</v>
      </c>
      <c r="D18" s="30">
        <v>966220</v>
      </c>
      <c r="E18" s="171">
        <v>383101.49</v>
      </c>
      <c r="F18" s="89">
        <f t="shared" si="0"/>
        <v>39.649509428494547</v>
      </c>
      <c r="G18" s="103"/>
      <c r="H18" s="29"/>
      <c r="I18" s="102"/>
      <c r="J18" s="29"/>
      <c r="K18" s="102"/>
      <c r="L18" s="29"/>
    </row>
    <row r="19" spans="2:16" ht="15" customHeight="1" x14ac:dyDescent="0.25">
      <c r="B19" s="28"/>
      <c r="C19" s="85" t="s">
        <v>75</v>
      </c>
      <c r="D19" s="3">
        <f>SUM(D17+D18)</f>
        <v>26557799</v>
      </c>
      <c r="E19" s="152">
        <f>SUM(E17+E18)</f>
        <v>25405545.239999998</v>
      </c>
      <c r="F19" s="89">
        <f t="shared" si="0"/>
        <v>95.661335640050581</v>
      </c>
      <c r="G19" s="103"/>
      <c r="H19" s="28"/>
      <c r="I19" s="102"/>
      <c r="J19" s="28"/>
      <c r="K19" s="102"/>
      <c r="L19" s="28"/>
    </row>
    <row r="20" spans="2:16" ht="15" customHeight="1" thickBot="1" x14ac:dyDescent="0.3">
      <c r="B20" s="29"/>
      <c r="C20" s="86" t="s">
        <v>86</v>
      </c>
      <c r="D20" s="87">
        <f>SUM(D16-D19)</f>
        <v>-2589437</v>
      </c>
      <c r="E20" s="172">
        <f>SUM(E16-E19)</f>
        <v>-979963.05999999866</v>
      </c>
      <c r="F20" s="60"/>
      <c r="G20" s="97"/>
      <c r="H20" s="29"/>
      <c r="I20" s="102"/>
      <c r="J20" s="29"/>
      <c r="K20" s="102"/>
      <c r="L20" s="29"/>
    </row>
    <row r="21" spans="2:16" ht="15" customHeight="1" thickBot="1" x14ac:dyDescent="0.3">
      <c r="B21" s="29"/>
      <c r="C21" s="90" t="s">
        <v>19</v>
      </c>
      <c r="D21" s="91">
        <v>2589437</v>
      </c>
      <c r="E21" s="173">
        <v>2944329.74</v>
      </c>
      <c r="F21" s="92"/>
      <c r="G21" s="103"/>
      <c r="H21" s="29"/>
      <c r="I21" s="102"/>
      <c r="J21" s="29"/>
      <c r="K21" s="102"/>
      <c r="L21" s="29"/>
    </row>
    <row r="22" spans="2:16" ht="15" customHeight="1" thickBot="1" x14ac:dyDescent="0.3">
      <c r="B22" s="29"/>
      <c r="C22" s="93" t="s">
        <v>87</v>
      </c>
      <c r="D22" s="94">
        <f>D20+D21</f>
        <v>0</v>
      </c>
      <c r="E22" s="174">
        <f>E20+E21</f>
        <v>1964366.6800000016</v>
      </c>
      <c r="F22" s="77"/>
      <c r="G22" s="97"/>
      <c r="H22" s="29"/>
      <c r="I22" s="102"/>
      <c r="J22" s="29"/>
      <c r="K22" s="102"/>
      <c r="L22" s="29"/>
    </row>
    <row r="23" spans="2:16" ht="15" customHeight="1" x14ac:dyDescent="0.25">
      <c r="B23" s="28"/>
      <c r="C23" s="28"/>
      <c r="D23" s="28"/>
      <c r="E23" s="102"/>
      <c r="F23" s="28"/>
      <c r="G23" s="102"/>
      <c r="H23" s="28"/>
      <c r="I23" s="102"/>
      <c r="J23" s="28"/>
      <c r="K23" s="102"/>
      <c r="L23" s="28"/>
      <c r="M23" s="102"/>
      <c r="N23" s="28"/>
    </row>
    <row r="24" spans="2:16" ht="15" customHeight="1" x14ac:dyDescent="0.25">
      <c r="B24" s="79" t="s">
        <v>78</v>
      </c>
      <c r="C24" s="28"/>
      <c r="D24" s="28"/>
      <c r="E24" s="102"/>
      <c r="F24" s="28"/>
      <c r="G24" s="102"/>
      <c r="H24" s="28"/>
      <c r="I24" s="102"/>
      <c r="J24" s="28"/>
      <c r="K24" s="102"/>
      <c r="L24" s="28"/>
      <c r="M24" s="102"/>
      <c r="N24" s="28"/>
    </row>
    <row r="25" spans="2:16" ht="15" customHeight="1" thickBot="1" x14ac:dyDescent="0.3">
      <c r="B25" s="28"/>
      <c r="C25" s="28"/>
      <c r="D25" s="28"/>
      <c r="E25" s="102"/>
      <c r="F25" s="28"/>
      <c r="G25" s="102"/>
      <c r="H25" s="28"/>
      <c r="I25" s="102"/>
      <c r="J25" s="28"/>
      <c r="K25" s="102"/>
      <c r="L25" s="28"/>
      <c r="M25" s="102"/>
      <c r="N25" s="28"/>
    </row>
    <row r="26" spans="2:16" ht="15" customHeight="1" x14ac:dyDescent="0.25">
      <c r="B26" s="109"/>
      <c r="C26" s="110"/>
      <c r="D26" s="147" t="s">
        <v>2</v>
      </c>
      <c r="E26" s="147"/>
      <c r="F26" s="148" t="s">
        <v>104</v>
      </c>
      <c r="G26" s="149"/>
      <c r="H26" s="148" t="s">
        <v>3</v>
      </c>
      <c r="I26" s="149"/>
      <c r="J26" s="148" t="s">
        <v>64</v>
      </c>
      <c r="K26" s="149"/>
      <c r="L26" s="148" t="s">
        <v>4</v>
      </c>
      <c r="M26" s="149"/>
      <c r="N26" s="118" t="s">
        <v>5</v>
      </c>
      <c r="O26" s="129" t="s">
        <v>105</v>
      </c>
      <c r="P26" s="131" t="s">
        <v>7</v>
      </c>
    </row>
    <row r="27" spans="2:16" s="32" customFormat="1" ht="15" customHeight="1" thickBot="1" x14ac:dyDescent="0.3">
      <c r="B27" s="111"/>
      <c r="C27" s="112"/>
      <c r="D27" s="113" t="s">
        <v>71</v>
      </c>
      <c r="E27" s="113" t="s">
        <v>6</v>
      </c>
      <c r="F27" s="113" t="s">
        <v>71</v>
      </c>
      <c r="G27" s="113" t="s">
        <v>6</v>
      </c>
      <c r="H27" s="113" t="s">
        <v>71</v>
      </c>
      <c r="I27" s="113" t="s">
        <v>6</v>
      </c>
      <c r="J27" s="113" t="s">
        <v>71</v>
      </c>
      <c r="K27" s="113" t="s">
        <v>6</v>
      </c>
      <c r="L27" s="114" t="s">
        <v>71</v>
      </c>
      <c r="M27" s="114" t="s">
        <v>6</v>
      </c>
      <c r="N27" s="119"/>
      <c r="O27" s="130"/>
      <c r="P27" s="132"/>
    </row>
    <row r="28" spans="2:16" s="32" customFormat="1" ht="15" customHeight="1" x14ac:dyDescent="0.25">
      <c r="B28" s="105">
        <v>1</v>
      </c>
      <c r="C28" s="106">
        <v>2</v>
      </c>
      <c r="D28" s="107">
        <v>3</v>
      </c>
      <c r="E28" s="151"/>
      <c r="F28" s="107">
        <v>4</v>
      </c>
      <c r="G28" s="151"/>
      <c r="H28" s="107">
        <v>5</v>
      </c>
      <c r="I28" s="151"/>
      <c r="J28" s="107"/>
      <c r="K28" s="151"/>
      <c r="L28" s="107">
        <v>6</v>
      </c>
      <c r="M28" s="151"/>
      <c r="N28" s="107">
        <v>7</v>
      </c>
      <c r="O28" s="151">
        <v>8</v>
      </c>
      <c r="P28" s="108">
        <v>9</v>
      </c>
    </row>
    <row r="29" spans="2:16" s="32" customFormat="1" ht="15" customHeight="1" x14ac:dyDescent="0.25">
      <c r="B29" s="45">
        <v>6</v>
      </c>
      <c r="C29" s="31" t="s">
        <v>8</v>
      </c>
      <c r="D29" s="3"/>
      <c r="E29" s="152"/>
      <c r="F29" s="3"/>
      <c r="G29" s="152"/>
      <c r="H29" s="3"/>
      <c r="I29" s="152"/>
      <c r="J29" s="3"/>
      <c r="K29" s="152"/>
      <c r="L29" s="4"/>
      <c r="M29" s="158"/>
      <c r="N29" s="4"/>
      <c r="O29" s="159"/>
      <c r="P29" s="46"/>
    </row>
    <row r="30" spans="2:16" s="32" customFormat="1" ht="15" customHeight="1" x14ac:dyDescent="0.25">
      <c r="B30" s="47">
        <v>6361</v>
      </c>
      <c r="C30" s="33" t="s">
        <v>9</v>
      </c>
      <c r="D30" s="6">
        <f>19130506+33500</f>
        <v>19164006</v>
      </c>
      <c r="E30" s="153">
        <v>19084156.579999998</v>
      </c>
      <c r="F30" s="26"/>
      <c r="G30" s="154"/>
      <c r="H30" s="26"/>
      <c r="I30" s="154"/>
      <c r="J30" s="26"/>
      <c r="K30" s="154"/>
      <c r="L30" s="26"/>
      <c r="M30" s="154"/>
      <c r="N30" s="6">
        <f>SUM(D30+F30+H30+J30+L30)</f>
        <v>19164006</v>
      </c>
      <c r="O30" s="160">
        <f>19072608.68+11547.9</f>
        <v>19084156.579999998</v>
      </c>
      <c r="P30" s="46">
        <f>O30/N30*100</f>
        <v>99.583336490293306</v>
      </c>
    </row>
    <row r="31" spans="2:16" s="32" customFormat="1" ht="15" customHeight="1" x14ac:dyDescent="0.25">
      <c r="B31" s="47">
        <v>6381</v>
      </c>
      <c r="C31" s="33" t="s">
        <v>10</v>
      </c>
      <c r="D31" s="6">
        <v>1010000</v>
      </c>
      <c r="E31" s="153">
        <v>1477738.81</v>
      </c>
      <c r="F31" s="26"/>
      <c r="G31" s="154"/>
      <c r="H31" s="26"/>
      <c r="I31" s="154"/>
      <c r="J31" s="26"/>
      <c r="K31" s="154"/>
      <c r="L31" s="26"/>
      <c r="M31" s="154"/>
      <c r="N31" s="6">
        <f t="shared" ref="N31:N41" si="1">SUM(D31+F31+H31+J31+L31)</f>
        <v>1010000</v>
      </c>
      <c r="O31" s="160">
        <v>1477738.81</v>
      </c>
      <c r="P31" s="46">
        <f>O31/N31*100</f>
        <v>146.31077326732674</v>
      </c>
    </row>
    <row r="32" spans="2:16" s="32" customFormat="1" ht="15" customHeight="1" x14ac:dyDescent="0.25">
      <c r="B32" s="47">
        <v>6413</v>
      </c>
      <c r="C32" s="33" t="s">
        <v>27</v>
      </c>
      <c r="D32" s="26"/>
      <c r="E32" s="154"/>
      <c r="F32" s="26"/>
      <c r="G32" s="154"/>
      <c r="H32" s="26"/>
      <c r="I32" s="153">
        <v>60.5</v>
      </c>
      <c r="J32" s="26"/>
      <c r="K32" s="154"/>
      <c r="L32" s="26"/>
      <c r="M32" s="154"/>
      <c r="N32" s="6">
        <f t="shared" si="1"/>
        <v>0</v>
      </c>
      <c r="O32" s="160">
        <v>60.5</v>
      </c>
      <c r="P32" s="46" t="s">
        <v>21</v>
      </c>
    </row>
    <row r="33" spans="2:17" s="32" customFormat="1" ht="15" customHeight="1" x14ac:dyDescent="0.25">
      <c r="B33" s="47">
        <v>6415</v>
      </c>
      <c r="C33" s="33" t="s">
        <v>65</v>
      </c>
      <c r="D33" s="26"/>
      <c r="E33" s="154"/>
      <c r="F33" s="26"/>
      <c r="G33" s="154"/>
      <c r="H33" s="26"/>
      <c r="I33" s="153">
        <v>25.72</v>
      </c>
      <c r="J33" s="26"/>
      <c r="K33" s="154"/>
      <c r="L33" s="26"/>
      <c r="M33" s="154"/>
      <c r="N33" s="6">
        <f t="shared" si="1"/>
        <v>0</v>
      </c>
      <c r="O33" s="160">
        <v>25.72</v>
      </c>
      <c r="P33" s="46" t="s">
        <v>21</v>
      </c>
    </row>
    <row r="34" spans="2:17" s="32" customFormat="1" ht="15" customHeight="1" x14ac:dyDescent="0.25">
      <c r="B34" s="47">
        <v>6422</v>
      </c>
      <c r="C34" s="33" t="s">
        <v>11</v>
      </c>
      <c r="D34" s="26"/>
      <c r="E34" s="154"/>
      <c r="F34" s="26"/>
      <c r="G34" s="154"/>
      <c r="H34" s="6">
        <v>126000</v>
      </c>
      <c r="I34" s="153">
        <v>125827.57</v>
      </c>
      <c r="J34" s="6"/>
      <c r="K34" s="153"/>
      <c r="L34" s="26"/>
      <c r="M34" s="154"/>
      <c r="N34" s="6">
        <f t="shared" si="1"/>
        <v>126000</v>
      </c>
      <c r="O34" s="160">
        <v>125827.57</v>
      </c>
      <c r="P34" s="46">
        <f>O34/N34*100</f>
        <v>99.863150793650803</v>
      </c>
    </row>
    <row r="35" spans="2:17" s="32" customFormat="1" ht="15" customHeight="1" x14ac:dyDescent="0.25">
      <c r="B35" s="47">
        <v>6526</v>
      </c>
      <c r="C35" s="33" t="s">
        <v>12</v>
      </c>
      <c r="D35" s="26"/>
      <c r="E35" s="154"/>
      <c r="F35" s="6">
        <f>30000+650000</f>
        <v>680000</v>
      </c>
      <c r="G35" s="153">
        <v>689474.59</v>
      </c>
      <c r="H35" s="26"/>
      <c r="I35" s="154"/>
      <c r="J35" s="26"/>
      <c r="K35" s="154"/>
      <c r="L35" s="26"/>
      <c r="M35" s="154"/>
      <c r="N35" s="6">
        <f t="shared" si="1"/>
        <v>680000</v>
      </c>
      <c r="O35" s="160">
        <f>653772.59+3100+50+1152+5600+25800</f>
        <v>689474.59</v>
      </c>
      <c r="P35" s="46">
        <f>O35/N35*100</f>
        <v>101.39332205882351</v>
      </c>
    </row>
    <row r="36" spans="2:17" s="32" customFormat="1" ht="15" customHeight="1" x14ac:dyDescent="0.25">
      <c r="B36" s="48">
        <v>6614</v>
      </c>
      <c r="C36" s="33" t="s">
        <v>25</v>
      </c>
      <c r="D36" s="26"/>
      <c r="E36" s="154"/>
      <c r="F36" s="26"/>
      <c r="G36" s="154"/>
      <c r="H36" s="6">
        <v>10000</v>
      </c>
      <c r="I36" s="153">
        <v>14834.5</v>
      </c>
      <c r="J36" s="6"/>
      <c r="K36" s="153"/>
      <c r="L36" s="26"/>
      <c r="M36" s="154"/>
      <c r="N36" s="6">
        <f t="shared" si="1"/>
        <v>10000</v>
      </c>
      <c r="O36" s="160">
        <v>14834.5</v>
      </c>
      <c r="P36" s="46">
        <f>O36/N36*100</f>
        <v>148.345</v>
      </c>
    </row>
    <row r="37" spans="2:17" s="32" customFormat="1" ht="15" customHeight="1" x14ac:dyDescent="0.25">
      <c r="B37" s="48">
        <v>6615</v>
      </c>
      <c r="C37" s="33" t="s">
        <v>26</v>
      </c>
      <c r="D37" s="26"/>
      <c r="E37" s="154"/>
      <c r="F37" s="26"/>
      <c r="G37" s="154"/>
      <c r="H37" s="6">
        <f>572000+35000</f>
        <v>607000</v>
      </c>
      <c r="I37" s="153">
        <v>605680.92000000004</v>
      </c>
      <c r="J37" s="6"/>
      <c r="K37" s="153"/>
      <c r="L37" s="26"/>
      <c r="M37" s="154"/>
      <c r="N37" s="6">
        <f t="shared" si="1"/>
        <v>607000</v>
      </c>
      <c r="O37" s="160">
        <f>129600+108450+8580+238332.38+70170.94+7888+3672.4+38987.2</f>
        <v>605680.92000000004</v>
      </c>
      <c r="P37" s="46">
        <f>O37/N37*100</f>
        <v>99.78268863261944</v>
      </c>
    </row>
    <row r="38" spans="2:17" s="32" customFormat="1" ht="15" customHeight="1" x14ac:dyDescent="0.25">
      <c r="B38" s="48">
        <v>6631</v>
      </c>
      <c r="C38" s="33" t="s">
        <v>13</v>
      </c>
      <c r="D38" s="26"/>
      <c r="E38" s="154"/>
      <c r="F38" s="6"/>
      <c r="G38" s="153"/>
      <c r="H38" s="26"/>
      <c r="I38" s="154"/>
      <c r="J38" s="6">
        <v>14050</v>
      </c>
      <c r="K38" s="153">
        <v>24268.17</v>
      </c>
      <c r="L38" s="26"/>
      <c r="M38" s="154"/>
      <c r="N38" s="6">
        <f t="shared" si="1"/>
        <v>14050</v>
      </c>
      <c r="O38" s="160">
        <v>24268.17</v>
      </c>
      <c r="P38" s="46">
        <f>O38/N38*100</f>
        <v>172.72718861209964</v>
      </c>
    </row>
    <row r="39" spans="2:17" s="32" customFormat="1" ht="15" customHeight="1" x14ac:dyDescent="0.25">
      <c r="B39" s="48">
        <v>6711</v>
      </c>
      <c r="C39" s="33" t="s">
        <v>14</v>
      </c>
      <c r="D39" s="6">
        <f>1546960+180000+627846</f>
        <v>2354806</v>
      </c>
      <c r="E39" s="153">
        <v>2380830.44</v>
      </c>
      <c r="F39" s="26"/>
      <c r="G39" s="154"/>
      <c r="H39" s="26"/>
      <c r="I39" s="154"/>
      <c r="J39" s="26"/>
      <c r="K39" s="154"/>
      <c r="L39" s="26"/>
      <c r="M39" s="154"/>
      <c r="N39" s="6">
        <f t="shared" si="1"/>
        <v>2354806</v>
      </c>
      <c r="O39" s="160">
        <f>742057.29+804902.71+627846+51546.18+154478.26</f>
        <v>2380830.4400000004</v>
      </c>
      <c r="P39" s="46">
        <f>O39/N39*100</f>
        <v>101.10516280322032</v>
      </c>
    </row>
    <row r="40" spans="2:17" s="32" customFormat="1" ht="15" customHeight="1" x14ac:dyDescent="0.25">
      <c r="B40" s="48">
        <v>6831</v>
      </c>
      <c r="C40" s="33" t="s">
        <v>15</v>
      </c>
      <c r="D40" s="26"/>
      <c r="E40" s="154"/>
      <c r="F40" s="26"/>
      <c r="G40" s="154"/>
      <c r="H40" s="26"/>
      <c r="I40" s="153">
        <v>19999.34</v>
      </c>
      <c r="J40" s="26"/>
      <c r="K40" s="154"/>
      <c r="L40" s="26"/>
      <c r="M40" s="154"/>
      <c r="N40" s="6">
        <f t="shared" si="1"/>
        <v>0</v>
      </c>
      <c r="O40" s="160">
        <v>19999.34</v>
      </c>
      <c r="P40" s="46" t="s">
        <v>21</v>
      </c>
    </row>
    <row r="41" spans="2:17" s="32" customFormat="1" ht="15" customHeight="1" x14ac:dyDescent="0.25">
      <c r="B41" s="48">
        <v>7211</v>
      </c>
      <c r="C41" s="34" t="s">
        <v>107</v>
      </c>
      <c r="D41" s="26"/>
      <c r="E41" s="154"/>
      <c r="F41" s="26"/>
      <c r="G41" s="154"/>
      <c r="H41" s="26"/>
      <c r="I41" s="154"/>
      <c r="J41" s="26"/>
      <c r="K41" s="154"/>
      <c r="L41" s="6">
        <v>2500</v>
      </c>
      <c r="M41" s="153">
        <v>2685.04</v>
      </c>
      <c r="N41" s="6">
        <f t="shared" si="1"/>
        <v>2500</v>
      </c>
      <c r="O41" s="160">
        <v>2685.04</v>
      </c>
      <c r="P41" s="46">
        <f>O41/N41*100</f>
        <v>107.4016</v>
      </c>
    </row>
    <row r="42" spans="2:17" s="32" customFormat="1" ht="15" customHeight="1" x14ac:dyDescent="0.25">
      <c r="B42" s="48"/>
      <c r="C42" s="7" t="s">
        <v>16</v>
      </c>
      <c r="D42" s="8">
        <f t="shared" ref="D42:N42" si="2">SUM(D30:D41)</f>
        <v>22528812</v>
      </c>
      <c r="E42" s="155">
        <f t="shared" si="2"/>
        <v>22942725.829999998</v>
      </c>
      <c r="F42" s="8">
        <f t="shared" si="2"/>
        <v>680000</v>
      </c>
      <c r="G42" s="155">
        <f t="shared" si="2"/>
        <v>689474.59</v>
      </c>
      <c r="H42" s="8">
        <f t="shared" si="2"/>
        <v>743000</v>
      </c>
      <c r="I42" s="155">
        <f t="shared" si="2"/>
        <v>766428.55</v>
      </c>
      <c r="J42" s="8">
        <f t="shared" si="2"/>
        <v>14050</v>
      </c>
      <c r="K42" s="155">
        <f t="shared" si="2"/>
        <v>24268.17</v>
      </c>
      <c r="L42" s="8">
        <f t="shared" si="2"/>
        <v>2500</v>
      </c>
      <c r="M42" s="155">
        <f t="shared" si="2"/>
        <v>2685.04</v>
      </c>
      <c r="N42" s="8">
        <f t="shared" si="2"/>
        <v>23968362</v>
      </c>
      <c r="O42" s="155">
        <f>SUM(O30:O41)</f>
        <v>24425582.18</v>
      </c>
      <c r="P42" s="46">
        <f>O42/N42*100</f>
        <v>101.90759877541905</v>
      </c>
      <c r="Q42" s="35"/>
    </row>
    <row r="43" spans="2:17" s="32" customFormat="1" ht="15" customHeight="1" x14ac:dyDescent="0.25">
      <c r="B43" s="48"/>
      <c r="C43" s="25" t="s">
        <v>19</v>
      </c>
      <c r="D43" s="5">
        <f>1368500+567944</f>
        <v>1936444</v>
      </c>
      <c r="E43" s="156">
        <v>2291336.7400000002</v>
      </c>
      <c r="F43" s="5">
        <v>652993</v>
      </c>
      <c r="G43" s="156">
        <v>652993</v>
      </c>
      <c r="H43" s="8"/>
      <c r="I43" s="155"/>
      <c r="J43" s="8"/>
      <c r="K43" s="155"/>
      <c r="L43" s="8"/>
      <c r="M43" s="155"/>
      <c r="N43" s="5">
        <f>D43+F43</f>
        <v>2589437</v>
      </c>
      <c r="O43" s="156">
        <v>2944329.74</v>
      </c>
      <c r="P43" s="46"/>
      <c r="Q43" s="35"/>
    </row>
    <row r="44" spans="2:17" s="32" customFormat="1" ht="15" customHeight="1" thickBot="1" x14ac:dyDescent="0.3">
      <c r="B44" s="64"/>
      <c r="C44" s="65" t="s">
        <v>16</v>
      </c>
      <c r="D44" s="66">
        <f>D42+D43</f>
        <v>24465256</v>
      </c>
      <c r="E44" s="157">
        <f>E42+E43</f>
        <v>25234062.57</v>
      </c>
      <c r="F44" s="66">
        <f t="shared" ref="F44:O44" si="3">F42+F43</f>
        <v>1332993</v>
      </c>
      <c r="G44" s="157">
        <f t="shared" si="3"/>
        <v>1342467.5899999999</v>
      </c>
      <c r="H44" s="66">
        <f t="shared" si="3"/>
        <v>743000</v>
      </c>
      <c r="I44" s="157">
        <f t="shared" si="3"/>
        <v>766428.55</v>
      </c>
      <c r="J44" s="66">
        <f t="shared" si="3"/>
        <v>14050</v>
      </c>
      <c r="K44" s="157">
        <f t="shared" si="3"/>
        <v>24268.17</v>
      </c>
      <c r="L44" s="66">
        <f t="shared" si="3"/>
        <v>2500</v>
      </c>
      <c r="M44" s="157">
        <f t="shared" si="3"/>
        <v>2685.04</v>
      </c>
      <c r="N44" s="66">
        <f t="shared" si="3"/>
        <v>26557799</v>
      </c>
      <c r="O44" s="157">
        <f t="shared" si="3"/>
        <v>27369911.920000002</v>
      </c>
      <c r="P44" s="60"/>
      <c r="Q44" s="35"/>
    </row>
    <row r="45" spans="2:17" s="32" customFormat="1" ht="15" customHeight="1" thickBot="1" x14ac:dyDescent="0.3"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  <c r="Q45" s="35"/>
    </row>
    <row r="46" spans="2:17" s="32" customFormat="1" ht="15" customHeight="1" x14ac:dyDescent="0.25">
      <c r="B46" s="133" t="s">
        <v>72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  <c r="Q46" s="35"/>
    </row>
    <row r="47" spans="2:17" s="32" customFormat="1" ht="15" customHeight="1" x14ac:dyDescent="0.25">
      <c r="B47" s="45">
        <v>3</v>
      </c>
      <c r="C47" s="31" t="s">
        <v>17</v>
      </c>
      <c r="D47" s="6"/>
      <c r="E47" s="153"/>
      <c r="F47" s="6"/>
      <c r="G47" s="6"/>
      <c r="H47" s="6"/>
      <c r="I47" s="6"/>
      <c r="J47" s="6"/>
      <c r="K47" s="6"/>
      <c r="L47" s="6"/>
      <c r="M47" s="6"/>
      <c r="N47" s="6"/>
      <c r="O47" s="163"/>
      <c r="P47" s="46"/>
    </row>
    <row r="48" spans="2:17" s="32" customFormat="1" ht="15" customHeight="1" x14ac:dyDescent="0.25">
      <c r="B48" s="49">
        <v>3212</v>
      </c>
      <c r="C48" s="36" t="s">
        <v>28</v>
      </c>
      <c r="D48" s="6">
        <f>742000</f>
        <v>742000</v>
      </c>
      <c r="E48" s="153">
        <v>742057.29</v>
      </c>
      <c r="F48" s="6"/>
      <c r="G48" s="6"/>
      <c r="H48" s="6"/>
      <c r="I48" s="6"/>
      <c r="J48" s="6"/>
      <c r="K48" s="6"/>
      <c r="L48" s="6"/>
      <c r="M48" s="6"/>
      <c r="N48" s="11">
        <f>D48</f>
        <v>742000</v>
      </c>
      <c r="O48" s="160">
        <v>742057.29</v>
      </c>
      <c r="P48" s="46">
        <f>O48/N48*100</f>
        <v>100.00772102425877</v>
      </c>
    </row>
    <row r="49" spans="2:16" s="32" customFormat="1" ht="15" customHeight="1" x14ac:dyDescent="0.25">
      <c r="B49" s="49">
        <v>3213</v>
      </c>
      <c r="C49" s="36" t="s">
        <v>29</v>
      </c>
      <c r="D49" s="6">
        <v>600</v>
      </c>
      <c r="E49" s="153">
        <v>547.79999999999995</v>
      </c>
      <c r="F49" s="6"/>
      <c r="G49" s="6"/>
      <c r="H49" s="6"/>
      <c r="I49" s="6"/>
      <c r="J49" s="6"/>
      <c r="K49" s="6"/>
      <c r="L49" s="6"/>
      <c r="M49" s="6"/>
      <c r="N49" s="11">
        <f t="shared" ref="N49:N61" si="4">D49</f>
        <v>600</v>
      </c>
      <c r="O49" s="160">
        <v>547.79999999999995</v>
      </c>
      <c r="P49" s="46">
        <f>O49/N49*100</f>
        <v>91.3</v>
      </c>
    </row>
    <row r="50" spans="2:16" s="32" customFormat="1" ht="15" customHeight="1" x14ac:dyDescent="0.25">
      <c r="B50" s="49">
        <v>3221</v>
      </c>
      <c r="C50" s="36" t="s">
        <v>30</v>
      </c>
      <c r="D50" s="6">
        <f>15000+30000</f>
        <v>45000</v>
      </c>
      <c r="E50" s="153">
        <v>44901.08</v>
      </c>
      <c r="F50" s="6"/>
      <c r="G50" s="6"/>
      <c r="H50" s="6"/>
      <c r="I50" s="6"/>
      <c r="J50" s="6"/>
      <c r="K50" s="6"/>
      <c r="L50" s="6"/>
      <c r="M50" s="6"/>
      <c r="N50" s="11">
        <f t="shared" si="4"/>
        <v>45000</v>
      </c>
      <c r="O50" s="160">
        <f>14994.91+29906.17</f>
        <v>44901.08</v>
      </c>
      <c r="P50" s="46">
        <f>O50/N50*100</f>
        <v>99.78017777777778</v>
      </c>
    </row>
    <row r="51" spans="2:16" s="32" customFormat="1" ht="15" customHeight="1" x14ac:dyDescent="0.25">
      <c r="B51" s="49">
        <v>3222</v>
      </c>
      <c r="C51" s="36" t="s">
        <v>31</v>
      </c>
      <c r="D51" s="6">
        <f>40000</f>
        <v>40000</v>
      </c>
      <c r="E51" s="153">
        <v>40093.83</v>
      </c>
      <c r="F51" s="6"/>
      <c r="G51" s="6"/>
      <c r="H51" s="6"/>
      <c r="I51" s="6"/>
      <c r="J51" s="6"/>
      <c r="K51" s="6"/>
      <c r="L51" s="6"/>
      <c r="M51" s="6"/>
      <c r="N51" s="11">
        <f t="shared" si="4"/>
        <v>40000</v>
      </c>
      <c r="O51" s="160">
        <v>40093.83</v>
      </c>
      <c r="P51" s="46">
        <f>O51/N51*100</f>
        <v>100.23457500000002</v>
      </c>
    </row>
    <row r="52" spans="2:16" s="32" customFormat="1" ht="15" customHeight="1" x14ac:dyDescent="0.25">
      <c r="B52" s="49">
        <v>3223</v>
      </c>
      <c r="C52" s="36" t="s">
        <v>32</v>
      </c>
      <c r="D52" s="6">
        <f>74980+225000</f>
        <v>299980</v>
      </c>
      <c r="E52" s="153">
        <v>299980</v>
      </c>
      <c r="F52" s="6"/>
      <c r="G52" s="6"/>
      <c r="H52" s="6"/>
      <c r="I52" s="6"/>
      <c r="J52" s="6"/>
      <c r="K52" s="6"/>
      <c r="L52" s="6"/>
      <c r="M52" s="6"/>
      <c r="N52" s="11">
        <f t="shared" si="4"/>
        <v>299980</v>
      </c>
      <c r="O52" s="160">
        <f>74980+225000</f>
        <v>299980</v>
      </c>
      <c r="P52" s="46">
        <f>O52/N52*100</f>
        <v>100</v>
      </c>
    </row>
    <row r="53" spans="2:16" s="32" customFormat="1" ht="15" customHeight="1" x14ac:dyDescent="0.25">
      <c r="B53" s="49">
        <v>3224</v>
      </c>
      <c r="C53" s="36" t="s">
        <v>52</v>
      </c>
      <c r="D53" s="6">
        <f>15000</f>
        <v>15000</v>
      </c>
      <c r="E53" s="153">
        <v>15000</v>
      </c>
      <c r="F53" s="6"/>
      <c r="G53" s="6"/>
      <c r="H53" s="6"/>
      <c r="I53" s="6"/>
      <c r="J53" s="6"/>
      <c r="K53" s="6"/>
      <c r="L53" s="6"/>
      <c r="M53" s="6"/>
      <c r="N53" s="11">
        <f t="shared" si="4"/>
        <v>15000</v>
      </c>
      <c r="O53" s="160">
        <v>15000</v>
      </c>
      <c r="P53" s="46">
        <f>O53/N53*100</f>
        <v>100</v>
      </c>
    </row>
    <row r="54" spans="2:16" s="32" customFormat="1" ht="15" customHeight="1" x14ac:dyDescent="0.25">
      <c r="B54" s="49">
        <v>3231</v>
      </c>
      <c r="C54" s="36" t="s">
        <v>33</v>
      </c>
      <c r="D54" s="6">
        <f>10000+3000</f>
        <v>13000</v>
      </c>
      <c r="E54" s="153">
        <v>13000</v>
      </c>
      <c r="F54" s="6"/>
      <c r="G54" s="6"/>
      <c r="H54" s="6"/>
      <c r="I54" s="6"/>
      <c r="J54" s="6"/>
      <c r="K54" s="6"/>
      <c r="L54" s="6"/>
      <c r="M54" s="6"/>
      <c r="N54" s="11">
        <f t="shared" si="4"/>
        <v>13000</v>
      </c>
      <c r="O54" s="160">
        <f>9999.82+3000.18</f>
        <v>13000</v>
      </c>
      <c r="P54" s="46">
        <f>O54/N54*100</f>
        <v>100</v>
      </c>
    </row>
    <row r="55" spans="2:16" s="32" customFormat="1" ht="15" customHeight="1" x14ac:dyDescent="0.25">
      <c r="B55" s="49">
        <v>3232</v>
      </c>
      <c r="C55" s="36" t="s">
        <v>53</v>
      </c>
      <c r="D55" s="6">
        <f>33110</f>
        <v>33110</v>
      </c>
      <c r="E55" s="153">
        <v>33110</v>
      </c>
      <c r="F55" s="6"/>
      <c r="G55" s="6"/>
      <c r="H55" s="6"/>
      <c r="I55" s="6"/>
      <c r="J55" s="6"/>
      <c r="K55" s="6"/>
      <c r="L55" s="6"/>
      <c r="M55" s="6"/>
      <c r="N55" s="11">
        <f t="shared" si="4"/>
        <v>33110</v>
      </c>
      <c r="O55" s="160">
        <v>33110</v>
      </c>
      <c r="P55" s="46">
        <f>O55/N55*100</f>
        <v>100</v>
      </c>
    </row>
    <row r="56" spans="2:16" s="37" customFormat="1" ht="15" customHeight="1" x14ac:dyDescent="0.2">
      <c r="B56" s="49">
        <v>3234</v>
      </c>
      <c r="C56" s="27" t="s">
        <v>34</v>
      </c>
      <c r="D56" s="6">
        <f>75000</f>
        <v>75000</v>
      </c>
      <c r="E56" s="153">
        <v>75006.05</v>
      </c>
      <c r="F56" s="6"/>
      <c r="G56" s="6"/>
      <c r="H56" s="6"/>
      <c r="I56" s="6"/>
      <c r="J56" s="6"/>
      <c r="K56" s="6"/>
      <c r="L56" s="6"/>
      <c r="M56" s="6"/>
      <c r="N56" s="11">
        <f t="shared" si="4"/>
        <v>75000</v>
      </c>
      <c r="O56" s="160">
        <v>75006.05</v>
      </c>
      <c r="P56" s="46">
        <f>O56/N56*100</f>
        <v>100.00806666666666</v>
      </c>
    </row>
    <row r="57" spans="2:16" s="32" customFormat="1" ht="15" customHeight="1" x14ac:dyDescent="0.25">
      <c r="B57" s="49">
        <v>3235</v>
      </c>
      <c r="C57" s="27" t="s">
        <v>35</v>
      </c>
      <c r="D57" s="6">
        <v>264250</v>
      </c>
      <c r="E57" s="153">
        <v>264246</v>
      </c>
      <c r="F57" s="6"/>
      <c r="G57" s="6"/>
      <c r="H57" s="6"/>
      <c r="I57" s="6"/>
      <c r="J57" s="6"/>
      <c r="K57" s="6"/>
      <c r="L57" s="6"/>
      <c r="M57" s="6"/>
      <c r="N57" s="11">
        <f t="shared" si="4"/>
        <v>264250</v>
      </c>
      <c r="O57" s="160">
        <v>264246</v>
      </c>
      <c r="P57" s="46">
        <f>O57/N57*100</f>
        <v>99.998486281929985</v>
      </c>
    </row>
    <row r="58" spans="2:16" s="38" customFormat="1" ht="15" customHeight="1" x14ac:dyDescent="0.25">
      <c r="B58" s="49">
        <v>3238</v>
      </c>
      <c r="C58" s="27" t="s">
        <v>36</v>
      </c>
      <c r="D58" s="6">
        <v>4000</v>
      </c>
      <c r="E58" s="153">
        <v>4000</v>
      </c>
      <c r="F58" s="6"/>
      <c r="G58" s="6"/>
      <c r="H58" s="6"/>
      <c r="I58" s="6"/>
      <c r="J58" s="6"/>
      <c r="K58" s="6"/>
      <c r="L58" s="6"/>
      <c r="M58" s="6"/>
      <c r="N58" s="11">
        <f t="shared" si="4"/>
        <v>4000</v>
      </c>
      <c r="O58" s="160">
        <v>4000</v>
      </c>
      <c r="P58" s="46">
        <f>O58/N58*100</f>
        <v>100</v>
      </c>
    </row>
    <row r="59" spans="2:16" s="32" customFormat="1" ht="15" customHeight="1" x14ac:dyDescent="0.25">
      <c r="B59" s="49">
        <v>3431</v>
      </c>
      <c r="C59" s="27" t="s">
        <v>37</v>
      </c>
      <c r="D59" s="6">
        <v>5000</v>
      </c>
      <c r="E59" s="153">
        <v>5000</v>
      </c>
      <c r="F59" s="6"/>
      <c r="G59" s="6"/>
      <c r="H59" s="6"/>
      <c r="I59" s="6"/>
      <c r="J59" s="6"/>
      <c r="K59" s="6"/>
      <c r="L59" s="6"/>
      <c r="M59" s="6"/>
      <c r="N59" s="11">
        <f t="shared" si="4"/>
        <v>5000</v>
      </c>
      <c r="O59" s="160">
        <v>5000</v>
      </c>
      <c r="P59" s="46">
        <f>O59/N59*100</f>
        <v>100</v>
      </c>
    </row>
    <row r="60" spans="2:16" s="32" customFormat="1" ht="15" customHeight="1" x14ac:dyDescent="0.25">
      <c r="B60" s="50">
        <v>4</v>
      </c>
      <c r="C60" s="41" t="s">
        <v>73</v>
      </c>
      <c r="D60" s="6"/>
      <c r="E60" s="153"/>
      <c r="F60" s="6"/>
      <c r="G60" s="6"/>
      <c r="H60" s="6"/>
      <c r="I60" s="6"/>
      <c r="J60" s="6"/>
      <c r="K60" s="6"/>
      <c r="L60" s="6"/>
      <c r="M60" s="6"/>
      <c r="N60" s="11">
        <f t="shared" si="4"/>
        <v>0</v>
      </c>
      <c r="O60" s="160"/>
      <c r="P60" s="46"/>
    </row>
    <row r="61" spans="2:16" s="32" customFormat="1" ht="15" customHeight="1" x14ac:dyDescent="0.25">
      <c r="B61" s="49">
        <v>4227</v>
      </c>
      <c r="C61" s="27" t="s">
        <v>38</v>
      </c>
      <c r="D61" s="6">
        <f>10020</f>
        <v>10020</v>
      </c>
      <c r="E61" s="153">
        <v>10017.950000000001</v>
      </c>
      <c r="F61" s="6"/>
      <c r="G61" s="6"/>
      <c r="H61" s="6"/>
      <c r="I61" s="6"/>
      <c r="J61" s="6"/>
      <c r="K61" s="6"/>
      <c r="L61" s="6"/>
      <c r="M61" s="6"/>
      <c r="N61" s="11">
        <f t="shared" si="4"/>
        <v>10020</v>
      </c>
      <c r="O61" s="160">
        <v>10017.950000000001</v>
      </c>
      <c r="P61" s="46">
        <f>O61/N61*100</f>
        <v>99.979540918163678</v>
      </c>
    </row>
    <row r="62" spans="2:16" s="32" customFormat="1" ht="15" customHeight="1" thickBot="1" x14ac:dyDescent="0.3">
      <c r="B62" s="67"/>
      <c r="C62" s="68" t="s">
        <v>16</v>
      </c>
      <c r="D62" s="69">
        <f>SUM(D48:D61)</f>
        <v>1546960</v>
      </c>
      <c r="E62" s="161">
        <f>SUM(E48:E61)</f>
        <v>1546960</v>
      </c>
      <c r="F62" s="69">
        <f t="shared" ref="F62:O62" si="5">SUM(F48:F61)</f>
        <v>0</v>
      </c>
      <c r="G62" s="69"/>
      <c r="H62" s="69">
        <f t="shared" si="5"/>
        <v>0</v>
      </c>
      <c r="I62" s="69"/>
      <c r="J62" s="69">
        <f t="shared" si="5"/>
        <v>0</v>
      </c>
      <c r="K62" s="69"/>
      <c r="L62" s="69">
        <f t="shared" si="5"/>
        <v>0</v>
      </c>
      <c r="M62" s="69"/>
      <c r="N62" s="69">
        <f t="shared" si="5"/>
        <v>1546960</v>
      </c>
      <c r="O62" s="161">
        <f t="shared" si="5"/>
        <v>1546960</v>
      </c>
      <c r="P62" s="60">
        <f>O62/N62*100</f>
        <v>100</v>
      </c>
    </row>
    <row r="63" spans="2:16" s="32" customFormat="1" ht="15" customHeight="1" thickBot="1" x14ac:dyDescent="0.3">
      <c r="B63" s="141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</row>
    <row r="64" spans="2:16" s="32" customFormat="1" ht="15" customHeight="1" x14ac:dyDescent="0.25">
      <c r="B64" s="136" t="s">
        <v>74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8"/>
    </row>
    <row r="65" spans="2:16" s="32" customFormat="1" ht="15" customHeight="1" x14ac:dyDescent="0.25">
      <c r="B65" s="51">
        <v>3</v>
      </c>
      <c r="C65" s="43" t="s">
        <v>17</v>
      </c>
      <c r="D65" s="44"/>
      <c r="E65" s="162"/>
      <c r="F65" s="44"/>
      <c r="G65" s="44"/>
      <c r="H65" s="44"/>
      <c r="I65" s="44"/>
      <c r="J65" s="44"/>
      <c r="K65" s="44"/>
      <c r="L65" s="44"/>
      <c r="M65" s="44"/>
      <c r="N65" s="44"/>
      <c r="O65" s="164"/>
      <c r="P65" s="52"/>
    </row>
    <row r="66" spans="2:16" s="32" customFormat="1" ht="15" customHeight="1" x14ac:dyDescent="0.25">
      <c r="B66" s="49">
        <v>3221</v>
      </c>
      <c r="C66" s="36" t="s">
        <v>30</v>
      </c>
      <c r="D66" s="6">
        <f>1000+30000</f>
        <v>31000</v>
      </c>
      <c r="E66" s="153">
        <v>31000</v>
      </c>
      <c r="F66" s="6"/>
      <c r="G66" s="6"/>
      <c r="H66" s="6"/>
      <c r="I66" s="6"/>
      <c r="J66" s="6"/>
      <c r="K66" s="6"/>
      <c r="L66" s="6"/>
      <c r="M66" s="6"/>
      <c r="N66" s="11">
        <f>D66</f>
        <v>31000</v>
      </c>
      <c r="O66" s="160">
        <f>1000+30000</f>
        <v>31000</v>
      </c>
      <c r="P66" s="46">
        <f>O66/N66*100</f>
        <v>100</v>
      </c>
    </row>
    <row r="67" spans="2:16" s="32" customFormat="1" ht="15" customHeight="1" x14ac:dyDescent="0.25">
      <c r="B67" s="49">
        <v>3222</v>
      </c>
      <c r="C67" s="36" t="s">
        <v>31</v>
      </c>
      <c r="D67" s="6">
        <v>287866</v>
      </c>
      <c r="E67" s="153">
        <v>287866</v>
      </c>
      <c r="F67" s="6"/>
      <c r="G67" s="6"/>
      <c r="H67" s="6"/>
      <c r="I67" s="6"/>
      <c r="J67" s="6"/>
      <c r="K67" s="6"/>
      <c r="L67" s="6"/>
      <c r="M67" s="6"/>
      <c r="N67" s="11">
        <f t="shared" ref="N67:N73" si="6">D67</f>
        <v>287866</v>
      </c>
      <c r="O67" s="160">
        <v>287866</v>
      </c>
      <c r="P67" s="46">
        <f>O67/N67*100</f>
        <v>100</v>
      </c>
    </row>
    <row r="68" spans="2:16" s="32" customFormat="1" ht="15" customHeight="1" x14ac:dyDescent="0.25">
      <c r="B68" s="49">
        <v>3223</v>
      </c>
      <c r="C68" s="36" t="s">
        <v>32</v>
      </c>
      <c r="D68" s="6">
        <f>65000+141000</f>
        <v>206000</v>
      </c>
      <c r="E68" s="153">
        <v>206000</v>
      </c>
      <c r="F68" s="6"/>
      <c r="G68" s="6"/>
      <c r="H68" s="6"/>
      <c r="I68" s="6"/>
      <c r="J68" s="6"/>
      <c r="K68" s="6"/>
      <c r="L68" s="6"/>
      <c r="M68" s="6"/>
      <c r="N68" s="11">
        <f t="shared" si="6"/>
        <v>206000</v>
      </c>
      <c r="O68" s="160">
        <f>65000+141000</f>
        <v>206000</v>
      </c>
      <c r="P68" s="46">
        <f>O68/N68*100</f>
        <v>100</v>
      </c>
    </row>
    <row r="69" spans="2:16" s="32" customFormat="1" ht="15" customHeight="1" x14ac:dyDescent="0.25">
      <c r="B69" s="49">
        <v>3224</v>
      </c>
      <c r="C69" s="36" t="s">
        <v>52</v>
      </c>
      <c r="D69" s="6">
        <v>12000</v>
      </c>
      <c r="E69" s="153">
        <v>12000</v>
      </c>
      <c r="F69" s="6"/>
      <c r="G69" s="6"/>
      <c r="H69" s="6"/>
      <c r="I69" s="6"/>
      <c r="J69" s="6"/>
      <c r="K69" s="6"/>
      <c r="L69" s="6"/>
      <c r="M69" s="6"/>
      <c r="N69" s="11">
        <f t="shared" si="6"/>
        <v>12000</v>
      </c>
      <c r="O69" s="160">
        <v>12000</v>
      </c>
      <c r="P69" s="46">
        <f>O69/N69*100</f>
        <v>100</v>
      </c>
    </row>
    <row r="70" spans="2:16" s="32" customFormat="1" ht="15" customHeight="1" x14ac:dyDescent="0.25">
      <c r="B70" s="49">
        <v>3231</v>
      </c>
      <c r="C70" s="36" t="s">
        <v>33</v>
      </c>
      <c r="D70" s="6">
        <v>4500</v>
      </c>
      <c r="E70" s="153">
        <v>4500</v>
      </c>
      <c r="F70" s="6"/>
      <c r="G70" s="6"/>
      <c r="H70" s="6"/>
      <c r="I70" s="6"/>
      <c r="J70" s="6"/>
      <c r="K70" s="6"/>
      <c r="L70" s="6"/>
      <c r="M70" s="6"/>
      <c r="N70" s="11">
        <f t="shared" si="6"/>
        <v>4500</v>
      </c>
      <c r="O70" s="160">
        <v>4500</v>
      </c>
      <c r="P70" s="46">
        <f>O70/N70*100</f>
        <v>100</v>
      </c>
    </row>
    <row r="71" spans="2:16" s="32" customFormat="1" ht="15" customHeight="1" x14ac:dyDescent="0.25">
      <c r="B71" s="49">
        <v>3232</v>
      </c>
      <c r="C71" s="36" t="s">
        <v>53</v>
      </c>
      <c r="D71" s="6">
        <v>20000</v>
      </c>
      <c r="E71" s="153">
        <v>20000</v>
      </c>
      <c r="F71" s="6"/>
      <c r="G71" s="6"/>
      <c r="H71" s="6"/>
      <c r="I71" s="6"/>
      <c r="J71" s="6"/>
      <c r="K71" s="6"/>
      <c r="L71" s="6"/>
      <c r="M71" s="6"/>
      <c r="N71" s="11">
        <f t="shared" si="6"/>
        <v>20000</v>
      </c>
      <c r="O71" s="160">
        <v>20000</v>
      </c>
      <c r="P71" s="46">
        <f>O71/N71*100</f>
        <v>100</v>
      </c>
    </row>
    <row r="72" spans="2:16" s="37" customFormat="1" ht="15" customHeight="1" x14ac:dyDescent="0.2">
      <c r="B72" s="49">
        <v>3234</v>
      </c>
      <c r="C72" s="27" t="s">
        <v>34</v>
      </c>
      <c r="D72" s="6">
        <v>65000</v>
      </c>
      <c r="E72" s="153">
        <v>65004.639999999999</v>
      </c>
      <c r="F72" s="6"/>
      <c r="G72" s="6"/>
      <c r="H72" s="6"/>
      <c r="I72" s="6"/>
      <c r="J72" s="6"/>
      <c r="K72" s="6"/>
      <c r="L72" s="6"/>
      <c r="M72" s="6"/>
      <c r="N72" s="11">
        <f t="shared" si="6"/>
        <v>65000</v>
      </c>
      <c r="O72" s="160">
        <v>65004.639999999999</v>
      </c>
      <c r="P72" s="46">
        <f>O72/N72*100</f>
        <v>100.00713846153846</v>
      </c>
    </row>
    <row r="73" spans="2:16" s="32" customFormat="1" ht="15" customHeight="1" x14ac:dyDescent="0.25">
      <c r="B73" s="49">
        <v>3236</v>
      </c>
      <c r="C73" s="27" t="s">
        <v>70</v>
      </c>
      <c r="D73" s="6">
        <v>1480</v>
      </c>
      <c r="E73" s="153">
        <v>1475.36</v>
      </c>
      <c r="F73" s="6"/>
      <c r="G73" s="6"/>
      <c r="H73" s="6"/>
      <c r="I73" s="6"/>
      <c r="J73" s="6"/>
      <c r="K73" s="6"/>
      <c r="L73" s="6"/>
      <c r="M73" s="6"/>
      <c r="N73" s="11">
        <f t="shared" si="6"/>
        <v>1480</v>
      </c>
      <c r="O73" s="160">
        <v>1475.36</v>
      </c>
      <c r="P73" s="46">
        <f>O73/N73*100</f>
        <v>99.686486486486487</v>
      </c>
    </row>
    <row r="74" spans="2:16" s="32" customFormat="1" ht="15" customHeight="1" thickBot="1" x14ac:dyDescent="0.3">
      <c r="B74" s="67"/>
      <c r="C74" s="68" t="s">
        <v>16</v>
      </c>
      <c r="D74" s="69">
        <f>SUM(D66:D73)</f>
        <v>627846</v>
      </c>
      <c r="E74" s="161">
        <f>SUM(E66:E73)</f>
        <v>627846</v>
      </c>
      <c r="F74" s="69">
        <f t="shared" ref="F74:O74" si="7">SUM(F66:F73)</f>
        <v>0</v>
      </c>
      <c r="G74" s="69"/>
      <c r="H74" s="69">
        <f t="shared" si="7"/>
        <v>0</v>
      </c>
      <c r="I74" s="69"/>
      <c r="J74" s="69">
        <f t="shared" si="7"/>
        <v>0</v>
      </c>
      <c r="K74" s="69"/>
      <c r="L74" s="69">
        <f t="shared" si="7"/>
        <v>0</v>
      </c>
      <c r="M74" s="69"/>
      <c r="N74" s="69">
        <f t="shared" si="7"/>
        <v>627846</v>
      </c>
      <c r="O74" s="161">
        <f t="shared" si="7"/>
        <v>627846</v>
      </c>
      <c r="P74" s="60">
        <f>O74/N74*100</f>
        <v>100</v>
      </c>
    </row>
    <row r="75" spans="2:16" s="32" customFormat="1" ht="15" customHeight="1" thickBot="1" x14ac:dyDescent="0.3">
      <c r="B75" s="14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3"/>
    </row>
    <row r="76" spans="2:16" s="32" customFormat="1" ht="15" customHeight="1" x14ac:dyDescent="0.25">
      <c r="B76" s="136" t="s">
        <v>76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40"/>
    </row>
    <row r="77" spans="2:16" ht="15" customHeight="1" x14ac:dyDescent="0.25">
      <c r="B77" s="53">
        <v>3</v>
      </c>
      <c r="C77" s="2" t="s">
        <v>17</v>
      </c>
      <c r="D77" s="6"/>
      <c r="E77" s="153"/>
      <c r="F77" s="6"/>
      <c r="G77" s="153"/>
      <c r="H77" s="6"/>
      <c r="I77" s="153"/>
      <c r="J77" s="6"/>
      <c r="K77" s="153"/>
      <c r="L77" s="6"/>
      <c r="M77" s="153"/>
      <c r="N77" s="6"/>
      <c r="O77" s="168"/>
      <c r="P77" s="46"/>
    </row>
    <row r="78" spans="2:16" ht="15" customHeight="1" x14ac:dyDescent="0.25">
      <c r="B78" s="54">
        <v>3111</v>
      </c>
      <c r="C78" s="10" t="s">
        <v>67</v>
      </c>
      <c r="D78" s="6">
        <f>15700000</f>
        <v>15700000</v>
      </c>
      <c r="E78" s="153">
        <v>15700580.23</v>
      </c>
      <c r="F78" s="6"/>
      <c r="G78" s="153"/>
      <c r="H78" s="6">
        <v>244400</v>
      </c>
      <c r="I78" s="153">
        <v>235041.54</v>
      </c>
      <c r="J78" s="6"/>
      <c r="K78" s="153"/>
      <c r="L78" s="26"/>
      <c r="M78" s="154"/>
      <c r="N78" s="11">
        <f>D78+F78+H78+J78+L78</f>
        <v>15944400</v>
      </c>
      <c r="O78" s="169">
        <f>14432365.1+127813.27+430395.14+439394.84+239633.66+266019.76</f>
        <v>15935621.77</v>
      </c>
      <c r="P78" s="46">
        <f>O78/N78*100</f>
        <v>99.944944745490574</v>
      </c>
    </row>
    <row r="79" spans="2:16" ht="15" customHeight="1" x14ac:dyDescent="0.25">
      <c r="B79" s="54">
        <v>3121</v>
      </c>
      <c r="C79" s="10" t="s">
        <v>18</v>
      </c>
      <c r="D79" s="6">
        <f>767850+135000+24000</f>
        <v>926850</v>
      </c>
      <c r="E79" s="153">
        <v>742150.42</v>
      </c>
      <c r="F79" s="6"/>
      <c r="G79" s="153"/>
      <c r="H79" s="6">
        <v>11500</v>
      </c>
      <c r="I79" s="153">
        <v>11436.68</v>
      </c>
      <c r="J79" s="6"/>
      <c r="K79" s="153"/>
      <c r="L79" s="26"/>
      <c r="M79" s="154"/>
      <c r="N79" s="11">
        <f t="shared" ref="N79:N112" si="8">D79+F79+H79+J79+L79</f>
        <v>938350</v>
      </c>
      <c r="O79" s="169">
        <f>215416.45+80312.83+14510.29+10597.53+432750</f>
        <v>753587.10000000009</v>
      </c>
      <c r="P79" s="46">
        <f>O79/N79*100</f>
        <v>80.309809772472974</v>
      </c>
    </row>
    <row r="80" spans="2:16" ht="15" customHeight="1" x14ac:dyDescent="0.25">
      <c r="B80" s="54">
        <v>3132</v>
      </c>
      <c r="C80" s="10" t="s">
        <v>39</v>
      </c>
      <c r="D80" s="6">
        <v>2590000</v>
      </c>
      <c r="E80" s="153">
        <v>2596513.2999999998</v>
      </c>
      <c r="F80" s="6"/>
      <c r="G80" s="153"/>
      <c r="H80" s="6">
        <v>41500</v>
      </c>
      <c r="I80" s="153">
        <v>38781.870000000003</v>
      </c>
      <c r="J80" s="6"/>
      <c r="K80" s="153"/>
      <c r="L80" s="26"/>
      <c r="M80" s="154"/>
      <c r="N80" s="11">
        <f t="shared" si="8"/>
        <v>2631500</v>
      </c>
      <c r="O80" s="169">
        <f>2566999.71+58827.31+2151.8+7316.35</f>
        <v>2635295.17</v>
      </c>
      <c r="P80" s="46">
        <f>O80/N80*100</f>
        <v>100.14422078662359</v>
      </c>
    </row>
    <row r="81" spans="2:16" ht="15" customHeight="1" x14ac:dyDescent="0.25">
      <c r="B81" s="54">
        <v>3211</v>
      </c>
      <c r="C81" s="10" t="s">
        <v>40</v>
      </c>
      <c r="D81" s="6">
        <v>603000</v>
      </c>
      <c r="E81" s="153">
        <v>563531.73</v>
      </c>
      <c r="F81" s="6">
        <v>30000</v>
      </c>
      <c r="G81" s="153">
        <v>8738.1200000000008</v>
      </c>
      <c r="H81" s="6">
        <f>30000</f>
        <v>30000</v>
      </c>
      <c r="I81" s="153">
        <v>30822.34</v>
      </c>
      <c r="J81" s="6"/>
      <c r="K81" s="153"/>
      <c r="L81" s="26"/>
      <c r="M81" s="154"/>
      <c r="N81" s="11">
        <f t="shared" si="8"/>
        <v>663000</v>
      </c>
      <c r="O81" s="169">
        <f>45682.64+500+227733.47+10634.39+137677.15+25038.33+119185.81+4328.51+32311.89</f>
        <v>603092.19000000006</v>
      </c>
      <c r="P81" s="46">
        <f>O81/N81*100</f>
        <v>90.96413122171947</v>
      </c>
    </row>
    <row r="82" spans="2:16" ht="15" customHeight="1" x14ac:dyDescent="0.25">
      <c r="B82" s="55">
        <v>3212</v>
      </c>
      <c r="C82" s="12" t="s">
        <v>28</v>
      </c>
      <c r="D82" s="6">
        <f>30000+19000+3000</f>
        <v>52000</v>
      </c>
      <c r="E82" s="153">
        <v>50863.18</v>
      </c>
      <c r="F82" s="6"/>
      <c r="G82" s="153"/>
      <c r="H82" s="6"/>
      <c r="I82" s="153"/>
      <c r="J82" s="6"/>
      <c r="K82" s="153"/>
      <c r="L82" s="26"/>
      <c r="M82" s="154"/>
      <c r="N82" s="11">
        <f t="shared" si="8"/>
        <v>52000</v>
      </c>
      <c r="O82" s="169">
        <f>770663.26+22257.21-742057.29</f>
        <v>50863.179999999935</v>
      </c>
      <c r="P82" s="46">
        <f>O82/N82*100</f>
        <v>97.813807692307563</v>
      </c>
    </row>
    <row r="83" spans="2:16" ht="15" customHeight="1" x14ac:dyDescent="0.25">
      <c r="B83" s="55">
        <v>3213</v>
      </c>
      <c r="C83" s="12" t="s">
        <v>29</v>
      </c>
      <c r="D83" s="6"/>
      <c r="E83" s="153"/>
      <c r="F83" s="6">
        <v>20000</v>
      </c>
      <c r="G83" s="153">
        <v>10644.45</v>
      </c>
      <c r="H83" s="6">
        <f>10000</f>
        <v>10000</v>
      </c>
      <c r="I83" s="153">
        <v>6920.91</v>
      </c>
      <c r="J83" s="6"/>
      <c r="K83" s="153"/>
      <c r="L83" s="26"/>
      <c r="M83" s="154"/>
      <c r="N83" s="11">
        <f t="shared" si="8"/>
        <v>30000</v>
      </c>
      <c r="O83" s="169">
        <f>14527.56+3585.6-547.8</f>
        <v>17565.36</v>
      </c>
      <c r="P83" s="46">
        <f>O83/N83*100</f>
        <v>58.551200000000001</v>
      </c>
    </row>
    <row r="84" spans="2:16" ht="15" customHeight="1" x14ac:dyDescent="0.25">
      <c r="B84" s="55">
        <v>3221</v>
      </c>
      <c r="C84" s="12" t="s">
        <v>30</v>
      </c>
      <c r="D84" s="6">
        <f>20000</f>
        <v>20000</v>
      </c>
      <c r="E84" s="153">
        <v>17148.96</v>
      </c>
      <c r="F84" s="6">
        <f>5000+25000+50000</f>
        <v>80000</v>
      </c>
      <c r="G84" s="153">
        <f>15885.91+31983.6+5000</f>
        <v>52869.509999999995</v>
      </c>
      <c r="H84" s="6">
        <f>10000+33000</f>
        <v>43000</v>
      </c>
      <c r="I84" s="153">
        <f>8866.91+38271.68</f>
        <v>47138.59</v>
      </c>
      <c r="J84" s="6"/>
      <c r="K84" s="153"/>
      <c r="L84" s="26"/>
      <c r="M84" s="154"/>
      <c r="N84" s="11">
        <f t="shared" si="8"/>
        <v>143000</v>
      </c>
      <c r="O84" s="169">
        <f>53868.92+336.73+6310.77+32881.65+17113.01+42058.97+20958.6+12675.78+6853.71-44901.08-31000</f>
        <v>117157.06</v>
      </c>
      <c r="P84" s="46">
        <f>O84/N84*100</f>
        <v>81.92801398601398</v>
      </c>
    </row>
    <row r="85" spans="2:16" ht="15" customHeight="1" x14ac:dyDescent="0.25">
      <c r="B85" s="55">
        <v>3222</v>
      </c>
      <c r="C85" s="12" t="s">
        <v>31</v>
      </c>
      <c r="D85" s="6">
        <f>39000+20000+4500</f>
        <v>63500</v>
      </c>
      <c r="E85" s="153">
        <v>67347.179999999993</v>
      </c>
      <c r="F85" s="6">
        <f>25000+323000</f>
        <v>348000</v>
      </c>
      <c r="G85" s="153">
        <f>178625.84+30702</f>
        <v>209327.84</v>
      </c>
      <c r="H85" s="6">
        <f>37000+12000</f>
        <v>49000</v>
      </c>
      <c r="I85" s="153">
        <f>29271.6+31736.21</f>
        <v>61007.81</v>
      </c>
      <c r="J85" s="6">
        <v>11550</v>
      </c>
      <c r="K85" s="153">
        <v>11583.17</v>
      </c>
      <c r="L85" s="6"/>
      <c r="M85" s="153"/>
      <c r="N85" s="11">
        <f t="shared" si="8"/>
        <v>472050</v>
      </c>
      <c r="O85" s="169">
        <f>538160.29+40576.5+787.87+41003.02+10079.27+5545.29+41073.59-40093.83-287866</f>
        <v>349266.00000000012</v>
      </c>
      <c r="P85" s="46">
        <f>O85/N85*100</f>
        <v>73.989196059739456</v>
      </c>
    </row>
    <row r="86" spans="2:16" ht="15" customHeight="1" x14ac:dyDescent="0.25">
      <c r="B86" s="55">
        <v>3223</v>
      </c>
      <c r="C86" s="12" t="s">
        <v>32</v>
      </c>
      <c r="D86" s="6">
        <f>74980+225000+35000+40000+65000+141000-299980-206000</f>
        <v>75000</v>
      </c>
      <c r="E86" s="153">
        <v>84406.11</v>
      </c>
      <c r="F86" s="6">
        <f>50000+140000+30000</f>
        <v>220000</v>
      </c>
      <c r="G86" s="153">
        <f>12782.25+160575.13+15587.17</f>
        <v>188944.55000000002</v>
      </c>
      <c r="H86" s="6">
        <f>23000</f>
        <v>23000</v>
      </c>
      <c r="I86" s="153">
        <v>27268.92</v>
      </c>
      <c r="J86" s="6"/>
      <c r="K86" s="153"/>
      <c r="L86" s="6"/>
      <c r="M86" s="153"/>
      <c r="N86" s="11">
        <f t="shared" si="8"/>
        <v>318000</v>
      </c>
      <c r="O86" s="169">
        <f>95117.37+28274.14+46362.1+27929.85+394662.57+170854.2+9785.71+500.07+14909.49+1533.99+16670.09-299980-206000</f>
        <v>300619.57999999984</v>
      </c>
      <c r="P86" s="46">
        <f>O86/N86*100</f>
        <v>94.534459119496802</v>
      </c>
    </row>
    <row r="87" spans="2:16" ht="15" customHeight="1" x14ac:dyDescent="0.25">
      <c r="B87" s="55">
        <v>3224</v>
      </c>
      <c r="C87" s="12" t="s">
        <v>52</v>
      </c>
      <c r="D87" s="6"/>
      <c r="E87" s="153"/>
      <c r="F87" s="6">
        <v>30000</v>
      </c>
      <c r="G87" s="153">
        <v>9857.1200000000008</v>
      </c>
      <c r="H87" s="6">
        <f>15000</f>
        <v>15000</v>
      </c>
      <c r="I87" s="153">
        <v>12280.96</v>
      </c>
      <c r="J87" s="6"/>
      <c r="K87" s="153"/>
      <c r="L87" s="6">
        <v>1250</v>
      </c>
      <c r="M87" s="153">
        <v>1342.52</v>
      </c>
      <c r="N87" s="11">
        <f t="shared" si="8"/>
        <v>46250</v>
      </c>
      <c r="O87" s="169">
        <f>7442.32+1243.39+5579.14+7531+1582.58+184.68+25057.31+1860.18-15000-12000</f>
        <v>23480.6</v>
      </c>
      <c r="P87" s="46">
        <f>O87/N87*100</f>
        <v>50.768864864864859</v>
      </c>
    </row>
    <row r="88" spans="2:16" ht="15" customHeight="1" x14ac:dyDescent="0.25">
      <c r="B88" s="55">
        <v>3225</v>
      </c>
      <c r="C88" s="12" t="s">
        <v>41</v>
      </c>
      <c r="D88" s="6">
        <v>5000</v>
      </c>
      <c r="E88" s="153">
        <v>5054</v>
      </c>
      <c r="F88" s="6">
        <v>5000</v>
      </c>
      <c r="G88" s="153">
        <v>717.12</v>
      </c>
      <c r="H88" s="6">
        <f>4500+15000</f>
        <v>19500</v>
      </c>
      <c r="I88" s="153">
        <f>3569.26+6043.92</f>
        <v>9613.18</v>
      </c>
      <c r="J88" s="6"/>
      <c r="K88" s="153">
        <v>9596</v>
      </c>
      <c r="L88" s="6"/>
      <c r="M88" s="153"/>
      <c r="N88" s="11">
        <f t="shared" si="8"/>
        <v>29500</v>
      </c>
      <c r="O88" s="169">
        <f>16193.24+399.99+1434.24</f>
        <v>18027.47</v>
      </c>
      <c r="P88" s="46">
        <f>O88/N88*100</f>
        <v>61.110067796610167</v>
      </c>
    </row>
    <row r="89" spans="2:16" ht="15" customHeight="1" x14ac:dyDescent="0.25">
      <c r="B89" s="55">
        <v>3227</v>
      </c>
      <c r="C89" s="12" t="s">
        <v>42</v>
      </c>
      <c r="D89" s="6">
        <v>27000</v>
      </c>
      <c r="E89" s="153">
        <v>33946</v>
      </c>
      <c r="F89" s="6">
        <v>15000</v>
      </c>
      <c r="G89" s="153">
        <v>6474.53</v>
      </c>
      <c r="H89" s="6">
        <f>2900</f>
        <v>2900</v>
      </c>
      <c r="I89" s="153">
        <v>10986.25</v>
      </c>
      <c r="J89" s="6"/>
      <c r="K89" s="153"/>
      <c r="L89" s="6"/>
      <c r="M89" s="153"/>
      <c r="N89" s="11">
        <f t="shared" si="8"/>
        <v>44900</v>
      </c>
      <c r="O89" s="169">
        <f>47285.83+4120.95</f>
        <v>51406.78</v>
      </c>
      <c r="P89" s="46">
        <f>O89/N89*100</f>
        <v>114.491714922049</v>
      </c>
    </row>
    <row r="90" spans="2:16" ht="15" customHeight="1" x14ac:dyDescent="0.25">
      <c r="B90" s="55">
        <v>3231</v>
      </c>
      <c r="C90" s="12" t="s">
        <v>33</v>
      </c>
      <c r="D90" s="6">
        <f>1500+1500</f>
        <v>3000</v>
      </c>
      <c r="E90" s="153">
        <v>52143.5</v>
      </c>
      <c r="F90" s="6">
        <f>19000+10000</f>
        <v>29000</v>
      </c>
      <c r="G90" s="153">
        <f>18431.49+7963.31</f>
        <v>26394.800000000003</v>
      </c>
      <c r="H90" s="6">
        <f>1000</f>
        <v>1000</v>
      </c>
      <c r="I90" s="153">
        <v>693.61</v>
      </c>
      <c r="J90" s="6"/>
      <c r="K90" s="153"/>
      <c r="L90" s="6"/>
      <c r="M90" s="153"/>
      <c r="N90" s="11">
        <f t="shared" si="8"/>
        <v>33000</v>
      </c>
      <c r="O90" s="169">
        <f>27137.53+6368.89+11143.49+52082-13000-4500</f>
        <v>79231.91</v>
      </c>
      <c r="P90" s="46">
        <f>O90/N90*100</f>
        <v>240.09669696969698</v>
      </c>
    </row>
    <row r="91" spans="2:16" ht="15" customHeight="1" x14ac:dyDescent="0.25">
      <c r="B91" s="55">
        <v>3232</v>
      </c>
      <c r="C91" s="12" t="s">
        <v>53</v>
      </c>
      <c r="D91" s="6"/>
      <c r="E91" s="153"/>
      <c r="F91" s="6">
        <v>40000</v>
      </c>
      <c r="G91" s="153">
        <v>9949.8799999999992</v>
      </c>
      <c r="H91" s="6">
        <f>58000</f>
        <v>58000</v>
      </c>
      <c r="I91" s="153">
        <v>57136.27</v>
      </c>
      <c r="J91" s="6"/>
      <c r="K91" s="153"/>
      <c r="L91" s="6">
        <v>1250</v>
      </c>
      <c r="M91" s="153">
        <v>1342.52</v>
      </c>
      <c r="N91" s="11">
        <f t="shared" si="8"/>
        <v>99250</v>
      </c>
      <c r="O91" s="169">
        <f>97702.5+19199.56+740.71+641.1+3254.8-33110-20000</f>
        <v>68428.670000000013</v>
      </c>
      <c r="P91" s="46">
        <f>O91/N91*100</f>
        <v>68.945763224181377</v>
      </c>
    </row>
    <row r="92" spans="2:16" ht="15" customHeight="1" x14ac:dyDescent="0.25">
      <c r="B92" s="55">
        <v>3233</v>
      </c>
      <c r="C92" s="12" t="s">
        <v>54</v>
      </c>
      <c r="D92" s="6"/>
      <c r="E92" s="153"/>
      <c r="F92" s="6">
        <v>3000</v>
      </c>
      <c r="G92" s="153">
        <v>859.37</v>
      </c>
      <c r="H92" s="6">
        <f>1000</f>
        <v>1000</v>
      </c>
      <c r="I92" s="153">
        <v>1296.1300000000001</v>
      </c>
      <c r="J92" s="6"/>
      <c r="K92" s="153"/>
      <c r="L92" s="6"/>
      <c r="M92" s="153"/>
      <c r="N92" s="11">
        <f t="shared" si="8"/>
        <v>4000</v>
      </c>
      <c r="O92" s="169">
        <f>1296.13+859.37</f>
        <v>2155.5</v>
      </c>
      <c r="P92" s="46">
        <f>O92/N92*100</f>
        <v>53.887500000000003</v>
      </c>
    </row>
    <row r="93" spans="2:16" s="1" customFormat="1" ht="15" customHeight="1" x14ac:dyDescent="0.2">
      <c r="B93" s="55">
        <v>3234</v>
      </c>
      <c r="C93" s="13" t="s">
        <v>34</v>
      </c>
      <c r="D93" s="6"/>
      <c r="E93" s="153"/>
      <c r="F93" s="6">
        <v>20000</v>
      </c>
      <c r="G93" s="153">
        <v>1491.09</v>
      </c>
      <c r="H93" s="6"/>
      <c r="I93" s="153"/>
      <c r="J93" s="6"/>
      <c r="K93" s="153"/>
      <c r="L93" s="6"/>
      <c r="M93" s="153"/>
      <c r="N93" s="11">
        <f t="shared" si="8"/>
        <v>20000</v>
      </c>
      <c r="O93" s="169">
        <f>40853.24+18670.16+42038.64+33217.72+2241+1118.01+1118.01+1122.5+1122.5-75006.05-65004.64</f>
        <v>1491.0900000000256</v>
      </c>
      <c r="P93" s="46">
        <f>O93/N93*100</f>
        <v>7.4554500000001287</v>
      </c>
    </row>
    <row r="94" spans="2:16" ht="15" customHeight="1" x14ac:dyDescent="0.25">
      <c r="B94" s="55">
        <v>3236</v>
      </c>
      <c r="C94" s="13" t="s">
        <v>51</v>
      </c>
      <c r="D94" s="6"/>
      <c r="E94" s="153">
        <v>7387.5</v>
      </c>
      <c r="F94" s="6">
        <f>15000+6000</f>
        <v>21000</v>
      </c>
      <c r="G94" s="153">
        <f>7500+4295.85</f>
        <v>11795.85</v>
      </c>
      <c r="H94" s="6">
        <f>7500</f>
        <v>7500</v>
      </c>
      <c r="I94" s="153">
        <v>7500</v>
      </c>
      <c r="J94" s="6"/>
      <c r="K94" s="153"/>
      <c r="L94" s="26"/>
      <c r="M94" s="154"/>
      <c r="N94" s="11">
        <f t="shared" si="8"/>
        <v>28500</v>
      </c>
      <c r="O94" s="169">
        <f>15000+13158.71-1475.36</f>
        <v>26683.35</v>
      </c>
      <c r="P94" s="46">
        <f>O94/N94*100</f>
        <v>93.625789473684208</v>
      </c>
    </row>
    <row r="95" spans="2:16" ht="15" customHeight="1" x14ac:dyDescent="0.25">
      <c r="B95" s="55">
        <v>3237</v>
      </c>
      <c r="C95" s="13" t="s">
        <v>43</v>
      </c>
      <c r="D95" s="6">
        <v>125000</v>
      </c>
      <c r="E95" s="153">
        <v>135414.71</v>
      </c>
      <c r="F95" s="6">
        <v>20000</v>
      </c>
      <c r="G95" s="153">
        <v>15447.96</v>
      </c>
      <c r="H95" s="6">
        <f>900+77000</f>
        <v>77900</v>
      </c>
      <c r="I95" s="153">
        <f>885.47+75205</f>
        <v>76090.47</v>
      </c>
      <c r="J95" s="6"/>
      <c r="K95" s="153"/>
      <c r="L95" s="26"/>
      <c r="M95" s="154"/>
      <c r="N95" s="11">
        <f>D95+F95+H95+J95+L95</f>
        <v>222900</v>
      </c>
      <c r="O95" s="169">
        <f>3989.75+125717.89+29125+68120.5</f>
        <v>226953.14</v>
      </c>
      <c r="P95" s="46">
        <f>O95/N95*100</f>
        <v>101.81836698070884</v>
      </c>
    </row>
    <row r="96" spans="2:16" s="14" customFormat="1" ht="15" customHeight="1" x14ac:dyDescent="0.25">
      <c r="B96" s="55">
        <v>3238</v>
      </c>
      <c r="C96" s="13" t="s">
        <v>36</v>
      </c>
      <c r="D96" s="6">
        <f>6000</f>
        <v>6000</v>
      </c>
      <c r="E96" s="153">
        <v>7200</v>
      </c>
      <c r="F96" s="6">
        <v>12000</v>
      </c>
      <c r="G96" s="153">
        <v>9435.31</v>
      </c>
      <c r="H96" s="6"/>
      <c r="I96" s="153">
        <v>1294.8</v>
      </c>
      <c r="J96" s="6"/>
      <c r="K96" s="153"/>
      <c r="L96" s="26"/>
      <c r="M96" s="154"/>
      <c r="N96" s="11">
        <f t="shared" si="8"/>
        <v>18000</v>
      </c>
      <c r="O96" s="169">
        <f>21930.11-4000</f>
        <v>17930.11</v>
      </c>
      <c r="P96" s="46">
        <f>O96/N96*100</f>
        <v>99.611722222222227</v>
      </c>
    </row>
    <row r="97" spans="2:16" s="14" customFormat="1" ht="15" customHeight="1" x14ac:dyDescent="0.25">
      <c r="B97" s="55">
        <v>3239</v>
      </c>
      <c r="C97" s="13" t="s">
        <v>44</v>
      </c>
      <c r="D97" s="6">
        <f>115000+500</f>
        <v>115500</v>
      </c>
      <c r="E97" s="153">
        <v>9517</v>
      </c>
      <c r="F97" s="6">
        <v>25000</v>
      </c>
      <c r="G97" s="153">
        <v>26788.400000000001</v>
      </c>
      <c r="H97" s="6">
        <f>28000</f>
        <v>28000</v>
      </c>
      <c r="I97" s="153">
        <v>44877.23</v>
      </c>
      <c r="J97" s="6">
        <v>2500</v>
      </c>
      <c r="K97" s="153">
        <v>2500</v>
      </c>
      <c r="L97" s="26"/>
      <c r="M97" s="154"/>
      <c r="N97" s="11">
        <f t="shared" si="8"/>
        <v>171000</v>
      </c>
      <c r="O97" s="169">
        <f>39442.5+8031.03+401+16521.6+6000+12354.5+932</f>
        <v>83682.63</v>
      </c>
      <c r="P97" s="46">
        <f>O97/N97*100</f>
        <v>48.937210526315795</v>
      </c>
    </row>
    <row r="98" spans="2:16" s="14" customFormat="1" ht="15" customHeight="1" x14ac:dyDescent="0.25">
      <c r="B98" s="55">
        <v>3241</v>
      </c>
      <c r="C98" s="13" t="s">
        <v>24</v>
      </c>
      <c r="D98" s="6">
        <v>900000</v>
      </c>
      <c r="E98" s="153">
        <v>976964.52</v>
      </c>
      <c r="F98" s="6"/>
      <c r="G98" s="153"/>
      <c r="H98" s="6">
        <v>3600</v>
      </c>
      <c r="I98" s="153">
        <v>3520.67</v>
      </c>
      <c r="J98" s="6"/>
      <c r="K98" s="153"/>
      <c r="L98" s="26"/>
      <c r="M98" s="154"/>
      <c r="N98" s="11">
        <f t="shared" si="8"/>
        <v>903600</v>
      </c>
      <c r="O98" s="169">
        <f>109068.1+17858.27+852108.15+1450.67</f>
        <v>980485.19000000006</v>
      </c>
      <c r="P98" s="46">
        <f>O98/N98*100</f>
        <v>108.50876383355468</v>
      </c>
    </row>
    <row r="99" spans="2:16" s="14" customFormat="1" ht="15" customHeight="1" x14ac:dyDescent="0.25">
      <c r="B99" s="55">
        <v>3292</v>
      </c>
      <c r="C99" s="13" t="s">
        <v>45</v>
      </c>
      <c r="D99" s="6">
        <v>15000</v>
      </c>
      <c r="E99" s="153">
        <v>8301.83</v>
      </c>
      <c r="F99" s="6">
        <v>30000</v>
      </c>
      <c r="G99" s="153">
        <v>27206.87</v>
      </c>
      <c r="H99" s="6">
        <f>34000</f>
        <v>34000</v>
      </c>
      <c r="I99" s="153">
        <v>29749.97</v>
      </c>
      <c r="J99" s="6"/>
      <c r="K99" s="153"/>
      <c r="L99" s="26"/>
      <c r="M99" s="154"/>
      <c r="N99" s="11">
        <f t="shared" si="8"/>
        <v>79000</v>
      </c>
      <c r="O99" s="169">
        <f>17943.37+6706.58+20197.39+12109.5+8301.83</f>
        <v>65258.67</v>
      </c>
      <c r="P99" s="46">
        <f>O99/N99*100</f>
        <v>82.605911392405062</v>
      </c>
    </row>
    <row r="100" spans="2:16" s="14" customFormat="1" ht="15" customHeight="1" x14ac:dyDescent="0.25">
      <c r="B100" s="55">
        <v>3293</v>
      </c>
      <c r="C100" s="13" t="s">
        <v>46</v>
      </c>
      <c r="D100" s="6">
        <v>31200</v>
      </c>
      <c r="E100" s="153">
        <f>1104.97+24013.89</f>
        <v>25118.86</v>
      </c>
      <c r="F100" s="6">
        <v>12000</v>
      </c>
      <c r="G100" s="153">
        <v>8849.39</v>
      </c>
      <c r="H100" s="6">
        <f>10000+8000</f>
        <v>18000</v>
      </c>
      <c r="I100" s="153">
        <f>10639.84+1657.07</f>
        <v>12296.91</v>
      </c>
      <c r="J100" s="6"/>
      <c r="K100" s="153"/>
      <c r="L100" s="26"/>
      <c r="M100" s="154"/>
      <c r="N100" s="11">
        <f t="shared" si="8"/>
        <v>61200</v>
      </c>
      <c r="O100" s="169">
        <f>39851.99+6413.17</f>
        <v>46265.159999999996</v>
      </c>
      <c r="P100" s="46">
        <f>O100/N100*100</f>
        <v>75.59666666666665</v>
      </c>
    </row>
    <row r="101" spans="2:16" s="14" customFormat="1" ht="15" customHeight="1" x14ac:dyDescent="0.25">
      <c r="B101" s="55">
        <v>3294</v>
      </c>
      <c r="C101" s="13" t="s">
        <v>55</v>
      </c>
      <c r="D101" s="6"/>
      <c r="E101" s="153">
        <v>450</v>
      </c>
      <c r="F101" s="6">
        <v>1000</v>
      </c>
      <c r="G101" s="153"/>
      <c r="H101" s="6">
        <f>5000</f>
        <v>5000</v>
      </c>
      <c r="I101" s="153">
        <v>4850</v>
      </c>
      <c r="J101" s="6"/>
      <c r="K101" s="153"/>
      <c r="L101" s="26"/>
      <c r="M101" s="154"/>
      <c r="N101" s="11">
        <f t="shared" si="8"/>
        <v>6000</v>
      </c>
      <c r="O101" s="169">
        <f>5300</f>
        <v>5300</v>
      </c>
      <c r="P101" s="46">
        <f>O101/N101*100</f>
        <v>88.333333333333329</v>
      </c>
    </row>
    <row r="102" spans="2:16" s="14" customFormat="1" ht="15" customHeight="1" x14ac:dyDescent="0.25">
      <c r="B102" s="55">
        <v>3295</v>
      </c>
      <c r="C102" s="13" t="s">
        <v>47</v>
      </c>
      <c r="D102" s="6">
        <v>40400</v>
      </c>
      <c r="E102" s="153">
        <f>9760+20400</f>
        <v>30160</v>
      </c>
      <c r="F102" s="6">
        <v>3000</v>
      </c>
      <c r="G102" s="153">
        <v>255</v>
      </c>
      <c r="H102" s="6">
        <f>1000</f>
        <v>1000</v>
      </c>
      <c r="I102" s="153">
        <v>513.75</v>
      </c>
      <c r="J102" s="6"/>
      <c r="K102" s="153"/>
      <c r="L102" s="26"/>
      <c r="M102" s="154"/>
      <c r="N102" s="11">
        <f t="shared" si="8"/>
        <v>44400</v>
      </c>
      <c r="O102" s="169">
        <f>9760+768.75+20400</f>
        <v>30928.75</v>
      </c>
      <c r="P102" s="46">
        <f>O102/N102*100</f>
        <v>69.659346846846844</v>
      </c>
    </row>
    <row r="103" spans="2:16" s="14" customFormat="1" ht="15" customHeight="1" x14ac:dyDescent="0.25">
      <c r="B103" s="55">
        <v>3296</v>
      </c>
      <c r="C103" s="13" t="s">
        <v>48</v>
      </c>
      <c r="D103" s="6">
        <v>180000</v>
      </c>
      <c r="E103" s="153">
        <v>156205.96</v>
      </c>
      <c r="F103" s="6"/>
      <c r="G103" s="153"/>
      <c r="H103" s="6"/>
      <c r="I103" s="153"/>
      <c r="J103" s="6"/>
      <c r="K103" s="153"/>
      <c r="L103" s="26"/>
      <c r="M103" s="154"/>
      <c r="N103" s="11">
        <f t="shared" si="8"/>
        <v>180000</v>
      </c>
      <c r="O103" s="169">
        <v>156205.96</v>
      </c>
      <c r="P103" s="46">
        <f>O103/N103*100</f>
        <v>86.781088888888874</v>
      </c>
    </row>
    <row r="104" spans="2:16" s="14" customFormat="1" ht="15" customHeight="1" x14ac:dyDescent="0.25">
      <c r="B104" s="55">
        <v>3299</v>
      </c>
      <c r="C104" s="13" t="s">
        <v>56</v>
      </c>
      <c r="D104" s="6">
        <v>10000</v>
      </c>
      <c r="E104" s="153">
        <v>7173.25</v>
      </c>
      <c r="F104" s="6">
        <v>11993</v>
      </c>
      <c r="G104" s="153">
        <v>5254.32</v>
      </c>
      <c r="H104" s="6">
        <f>7000</f>
        <v>7000</v>
      </c>
      <c r="I104" s="153">
        <v>6214.81</v>
      </c>
      <c r="J104" s="6"/>
      <c r="K104" s="153"/>
      <c r="L104" s="26"/>
      <c r="M104" s="154"/>
      <c r="N104" s="11">
        <f t="shared" si="8"/>
        <v>28993</v>
      </c>
      <c r="O104" s="169">
        <f>4150+2788.37+536+11168.01</f>
        <v>18642.38</v>
      </c>
      <c r="P104" s="46">
        <f>O104/N104*100</f>
        <v>64.299589556099761</v>
      </c>
    </row>
    <row r="105" spans="2:16" ht="15" customHeight="1" x14ac:dyDescent="0.25">
      <c r="B105" s="55">
        <v>3431</v>
      </c>
      <c r="C105" s="27" t="s">
        <v>37</v>
      </c>
      <c r="D105" s="6"/>
      <c r="E105" s="153">
        <v>10221.25</v>
      </c>
      <c r="F105" s="6">
        <v>10000</v>
      </c>
      <c r="G105" s="153">
        <v>8456.2900000000009</v>
      </c>
      <c r="H105" s="6">
        <f>4000</f>
        <v>4000</v>
      </c>
      <c r="I105" s="153">
        <v>1566.62</v>
      </c>
      <c r="J105" s="6"/>
      <c r="K105" s="153"/>
      <c r="L105" s="26"/>
      <c r="M105" s="154"/>
      <c r="N105" s="11">
        <f t="shared" si="8"/>
        <v>14000</v>
      </c>
      <c r="O105" s="169">
        <f>19556.36+1729.33+3958.47-5000</f>
        <v>20244.160000000003</v>
      </c>
      <c r="P105" s="46">
        <f>O105/N105*100</f>
        <v>144.60114285714286</v>
      </c>
    </row>
    <row r="106" spans="2:16" ht="15" customHeight="1" x14ac:dyDescent="0.25">
      <c r="B106" s="55">
        <v>3433</v>
      </c>
      <c r="C106" s="13" t="s">
        <v>49</v>
      </c>
      <c r="D106" s="6">
        <v>200000</v>
      </c>
      <c r="E106" s="153">
        <v>171786.77</v>
      </c>
      <c r="F106" s="6"/>
      <c r="G106" s="153"/>
      <c r="H106" s="6"/>
      <c r="I106" s="153"/>
      <c r="J106" s="6"/>
      <c r="K106" s="153"/>
      <c r="L106" s="26"/>
      <c r="M106" s="154"/>
      <c r="N106" s="11">
        <f t="shared" si="8"/>
        <v>200000</v>
      </c>
      <c r="O106" s="169">
        <f>3239.87+59907.53+0.43+108638.94</f>
        <v>171786.77000000002</v>
      </c>
      <c r="P106" s="46">
        <f>O106/N106*100</f>
        <v>85.893385000000009</v>
      </c>
    </row>
    <row r="107" spans="2:16" ht="15" customHeight="1" x14ac:dyDescent="0.25">
      <c r="B107" s="56">
        <v>4</v>
      </c>
      <c r="C107" s="42" t="s">
        <v>73</v>
      </c>
      <c r="D107" s="6"/>
      <c r="E107" s="153"/>
      <c r="F107" s="6"/>
      <c r="G107" s="153"/>
      <c r="H107" s="6"/>
      <c r="I107" s="153"/>
      <c r="J107" s="6"/>
      <c r="K107" s="153"/>
      <c r="L107" s="26"/>
      <c r="M107" s="154"/>
      <c r="N107" s="11">
        <f>D107+F107+H107+J107+L107</f>
        <v>0</v>
      </c>
      <c r="O107" s="169"/>
      <c r="P107" s="46"/>
    </row>
    <row r="108" spans="2:16" ht="15" customHeight="1" x14ac:dyDescent="0.25">
      <c r="B108" s="55">
        <v>4123</v>
      </c>
      <c r="C108" s="13" t="s">
        <v>59</v>
      </c>
      <c r="D108" s="6"/>
      <c r="E108" s="153"/>
      <c r="F108" s="6"/>
      <c r="G108" s="153"/>
      <c r="H108" s="6">
        <v>7200</v>
      </c>
      <c r="I108" s="153">
        <v>7134.67</v>
      </c>
      <c r="J108" s="6"/>
      <c r="K108" s="153"/>
      <c r="L108" s="26"/>
      <c r="M108" s="154"/>
      <c r="N108" s="11">
        <f t="shared" si="8"/>
        <v>7200</v>
      </c>
      <c r="O108" s="169">
        <v>7134.67</v>
      </c>
      <c r="P108" s="46">
        <f>O108/N108*100</f>
        <v>99.092638888888899</v>
      </c>
    </row>
    <row r="109" spans="2:16" ht="15" customHeight="1" x14ac:dyDescent="0.25">
      <c r="B109" s="55">
        <v>4214</v>
      </c>
      <c r="C109" s="13" t="s">
        <v>50</v>
      </c>
      <c r="D109" s="6">
        <v>550000</v>
      </c>
      <c r="E109" s="153">
        <v>44500</v>
      </c>
      <c r="F109" s="6"/>
      <c r="G109" s="153"/>
      <c r="H109" s="6"/>
      <c r="I109" s="153"/>
      <c r="J109" s="6"/>
      <c r="K109" s="153"/>
      <c r="L109" s="26"/>
      <c r="M109" s="154"/>
      <c r="N109" s="11">
        <f t="shared" si="8"/>
        <v>550000</v>
      </c>
      <c r="O109" s="169">
        <v>44500</v>
      </c>
      <c r="P109" s="46">
        <f>O109/N109*100</f>
        <v>8.0909090909090899</v>
      </c>
    </row>
    <row r="110" spans="2:16" ht="15" customHeight="1" x14ac:dyDescent="0.25">
      <c r="B110" s="55">
        <v>4227</v>
      </c>
      <c r="C110" s="13" t="s">
        <v>38</v>
      </c>
      <c r="D110" s="6">
        <f>50000</f>
        <v>50000</v>
      </c>
      <c r="E110" s="153"/>
      <c r="F110" s="6">
        <v>343000</v>
      </c>
      <c r="G110" s="153">
        <v>309823.19</v>
      </c>
      <c r="H110" s="6"/>
      <c r="I110" s="153"/>
      <c r="J110" s="6"/>
      <c r="K110" s="153"/>
      <c r="L110" s="26"/>
      <c r="M110" s="154"/>
      <c r="N110" s="11">
        <f t="shared" si="8"/>
        <v>393000</v>
      </c>
      <c r="O110" s="169">
        <f>13138.79+8864.4+297837.95-10017.95</f>
        <v>309823.19</v>
      </c>
      <c r="P110" s="46">
        <f>O110/N110*100</f>
        <v>78.835417302798987</v>
      </c>
    </row>
    <row r="111" spans="2:16" ht="15" customHeight="1" x14ac:dyDescent="0.25">
      <c r="B111" s="55">
        <v>4241</v>
      </c>
      <c r="C111" s="13" t="s">
        <v>66</v>
      </c>
      <c r="D111" s="6">
        <v>2000</v>
      </c>
      <c r="E111" s="153">
        <v>7301.68</v>
      </c>
      <c r="F111" s="6"/>
      <c r="G111" s="153"/>
      <c r="H111" s="6"/>
      <c r="I111" s="153"/>
      <c r="J111" s="6"/>
      <c r="K111" s="153">
        <v>589</v>
      </c>
      <c r="L111" s="26"/>
      <c r="M111" s="154"/>
      <c r="N111" s="11">
        <f t="shared" si="8"/>
        <v>2000</v>
      </c>
      <c r="O111" s="169">
        <v>7890.68</v>
      </c>
      <c r="P111" s="46">
        <f>O111/N111*100</f>
        <v>394.53400000000005</v>
      </c>
    </row>
    <row r="112" spans="2:16" ht="15" customHeight="1" x14ac:dyDescent="0.25">
      <c r="B112" s="55">
        <v>4262</v>
      </c>
      <c r="C112" s="13" t="s">
        <v>57</v>
      </c>
      <c r="D112" s="6"/>
      <c r="E112" s="153"/>
      <c r="F112" s="6">
        <v>4000</v>
      </c>
      <c r="G112" s="153">
        <v>3735</v>
      </c>
      <c r="H112" s="6"/>
      <c r="I112" s="153"/>
      <c r="J112" s="6"/>
      <c r="K112" s="153"/>
      <c r="L112" s="26"/>
      <c r="M112" s="154"/>
      <c r="N112" s="11">
        <f t="shared" si="8"/>
        <v>4000</v>
      </c>
      <c r="O112" s="169">
        <v>3735</v>
      </c>
      <c r="P112" s="46">
        <f>O112/N112*100</f>
        <v>93.375</v>
      </c>
    </row>
    <row r="113" spans="2:16" ht="15" customHeight="1" thickBot="1" x14ac:dyDescent="0.3">
      <c r="B113" s="57"/>
      <c r="C113" s="58" t="s">
        <v>16</v>
      </c>
      <c r="D113" s="59">
        <f t="shared" ref="D113:O113" si="9">SUM(D78:D112)</f>
        <v>22290450</v>
      </c>
      <c r="E113" s="59">
        <f t="shared" si="9"/>
        <v>21511387.939999998</v>
      </c>
      <c r="F113" s="59">
        <f t="shared" si="9"/>
        <v>1332993</v>
      </c>
      <c r="G113" s="165">
        <f t="shared" si="9"/>
        <v>953315.96</v>
      </c>
      <c r="H113" s="59">
        <f t="shared" si="9"/>
        <v>743000</v>
      </c>
      <c r="I113" s="165">
        <f t="shared" si="9"/>
        <v>746034.9600000002</v>
      </c>
      <c r="J113" s="59">
        <f t="shared" si="9"/>
        <v>14050</v>
      </c>
      <c r="K113" s="165">
        <f t="shared" si="9"/>
        <v>24268.17</v>
      </c>
      <c r="L113" s="59">
        <f t="shared" si="9"/>
        <v>2500</v>
      </c>
      <c r="M113" s="165">
        <f t="shared" si="9"/>
        <v>2685.04</v>
      </c>
      <c r="N113" s="59">
        <f t="shared" si="9"/>
        <v>24382993</v>
      </c>
      <c r="O113" s="165">
        <f t="shared" si="9"/>
        <v>23230739.240000006</v>
      </c>
      <c r="P113" s="60">
        <f>O113/N113*100</f>
        <v>95.274354711089018</v>
      </c>
    </row>
    <row r="114" spans="2:16" ht="15" customHeight="1" thickBot="1" x14ac:dyDescent="0.3">
      <c r="B114" s="70"/>
      <c r="C114" s="71"/>
      <c r="D114" s="72"/>
      <c r="E114" s="166"/>
      <c r="F114" s="72"/>
      <c r="G114" s="166"/>
      <c r="H114" s="72"/>
      <c r="I114" s="166"/>
      <c r="J114" s="72"/>
      <c r="K114" s="166"/>
      <c r="L114" s="72"/>
      <c r="M114" s="166"/>
      <c r="N114" s="72"/>
      <c r="O114" s="166"/>
      <c r="P114" s="73"/>
    </row>
    <row r="115" spans="2:16" ht="15" customHeight="1" thickBot="1" x14ac:dyDescent="0.3">
      <c r="B115" s="74"/>
      <c r="C115" s="75" t="s">
        <v>75</v>
      </c>
      <c r="D115" s="76">
        <f>SUM(D62+D74+D113)</f>
        <v>24465256</v>
      </c>
      <c r="E115" s="76">
        <f>SUM(E62+E74+E113)</f>
        <v>23686193.939999998</v>
      </c>
      <c r="F115" s="76">
        <f t="shared" ref="F115:O115" si="10">SUM(F62+F74+F113)</f>
        <v>1332993</v>
      </c>
      <c r="G115" s="167">
        <f t="shared" si="10"/>
        <v>953315.96</v>
      </c>
      <c r="H115" s="76">
        <f t="shared" si="10"/>
        <v>743000</v>
      </c>
      <c r="I115" s="167">
        <f t="shared" si="10"/>
        <v>746034.9600000002</v>
      </c>
      <c r="J115" s="76">
        <f t="shared" si="10"/>
        <v>14050</v>
      </c>
      <c r="K115" s="167">
        <f t="shared" si="10"/>
        <v>24268.17</v>
      </c>
      <c r="L115" s="76">
        <f t="shared" si="10"/>
        <v>2500</v>
      </c>
      <c r="M115" s="167">
        <f t="shared" si="10"/>
        <v>2685.04</v>
      </c>
      <c r="N115" s="76">
        <f t="shared" si="10"/>
        <v>26557799</v>
      </c>
      <c r="O115" s="167">
        <f t="shared" si="10"/>
        <v>25405545.240000006</v>
      </c>
      <c r="P115" s="77"/>
    </row>
    <row r="116" spans="2:16" ht="15" customHeight="1" thickBot="1" x14ac:dyDescent="0.3">
      <c r="B116" s="15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9"/>
    </row>
    <row r="117" spans="2:16" ht="15" customHeight="1" x14ac:dyDescent="0.25">
      <c r="B117" s="20"/>
      <c r="C117" s="21"/>
      <c r="D117" s="22"/>
      <c r="E117" s="22"/>
      <c r="F117" s="22"/>
      <c r="G117" s="22"/>
      <c r="H117" s="120" t="s">
        <v>68</v>
      </c>
      <c r="I117" s="121"/>
      <c r="J117" s="122"/>
      <c r="K117" s="122"/>
      <c r="L117" s="122"/>
      <c r="M117" s="122"/>
      <c r="N117" s="122"/>
      <c r="O117" s="61">
        <f>O42-O115</f>
        <v>-979963.06000000611</v>
      </c>
      <c r="P117" s="19"/>
    </row>
    <row r="118" spans="2:16" ht="15" customHeight="1" x14ac:dyDescent="0.25">
      <c r="B118" s="20"/>
      <c r="C118" s="21"/>
      <c r="D118" s="22"/>
      <c r="E118" s="22"/>
      <c r="F118" s="22"/>
      <c r="G118" s="22"/>
      <c r="H118" s="123" t="s">
        <v>19</v>
      </c>
      <c r="I118" s="124"/>
      <c r="J118" s="125"/>
      <c r="K118" s="125"/>
      <c r="L118" s="125"/>
      <c r="M118" s="125"/>
      <c r="N118" s="125"/>
      <c r="O118" s="62">
        <v>2944329.74</v>
      </c>
      <c r="P118" s="19"/>
    </row>
    <row r="119" spans="2:16" ht="15" customHeight="1" thickBot="1" x14ac:dyDescent="0.3">
      <c r="B119" s="23"/>
      <c r="C119" s="23"/>
      <c r="D119" s="23"/>
      <c r="E119" s="23"/>
      <c r="F119" s="23"/>
      <c r="G119" s="23"/>
      <c r="H119" s="126" t="s">
        <v>69</v>
      </c>
      <c r="I119" s="127"/>
      <c r="J119" s="127"/>
      <c r="K119" s="127"/>
      <c r="L119" s="127"/>
      <c r="M119" s="127"/>
      <c r="N119" s="128"/>
      <c r="O119" s="63">
        <f>O117+O118</f>
        <v>1964366.6799999941</v>
      </c>
      <c r="P119" s="24"/>
    </row>
    <row r="120" spans="2:16" ht="15" customHeight="1" x14ac:dyDescent="0.25"/>
    <row r="121" spans="2:16" ht="15" customHeight="1" x14ac:dyDescent="0.25">
      <c r="B121" s="80" t="s">
        <v>20</v>
      </c>
      <c r="C121" s="78"/>
      <c r="D121" s="78"/>
      <c r="E121" s="78"/>
      <c r="N121" s="9"/>
    </row>
    <row r="122" spans="2:16" ht="15" customHeight="1" x14ac:dyDescent="0.25"/>
    <row r="123" spans="2:16" ht="15" customHeight="1" x14ac:dyDescent="0.25">
      <c r="B123" s="175" t="s">
        <v>108</v>
      </c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</row>
    <row r="124" spans="2:16" ht="15" customHeight="1" x14ac:dyDescent="0.25">
      <c r="B124" s="175" t="s">
        <v>109</v>
      </c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</row>
    <row r="125" spans="2:16" ht="15" customHeight="1" x14ac:dyDescent="0.25">
      <c r="B125" s="175" t="s">
        <v>111</v>
      </c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</row>
    <row r="126" spans="2:16" ht="15" customHeight="1" x14ac:dyDescent="0.25">
      <c r="B126" s="1"/>
    </row>
    <row r="127" spans="2:16" ht="15" customHeight="1" x14ac:dyDescent="0.25">
      <c r="B127" s="99" t="s">
        <v>95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</row>
    <row r="128" spans="2:16" ht="15" customHeight="1" x14ac:dyDescent="0.25">
      <c r="B128" s="99"/>
      <c r="C128" s="96" t="s">
        <v>93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8"/>
    </row>
    <row r="129" spans="2:17" ht="15" customHeight="1" x14ac:dyDescent="0.25">
      <c r="B129" s="99"/>
      <c r="C129" s="96" t="s">
        <v>94</v>
      </c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8"/>
    </row>
    <row r="130" spans="2:17" ht="15" customHeight="1" x14ac:dyDescent="0.25">
      <c r="B130" s="99"/>
      <c r="C130" s="96" t="s">
        <v>100</v>
      </c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8"/>
    </row>
    <row r="131" spans="2:17" ht="15" customHeight="1" x14ac:dyDescent="0.25">
      <c r="B131" s="99"/>
      <c r="C131" s="96" t="s">
        <v>96</v>
      </c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8"/>
    </row>
    <row r="132" spans="2:17" ht="15" customHeight="1" x14ac:dyDescent="0.25">
      <c r="B132" s="99"/>
      <c r="C132" s="96" t="s">
        <v>97</v>
      </c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8"/>
    </row>
    <row r="133" spans="2:17" ht="15" customHeight="1" x14ac:dyDescent="0.25">
      <c r="B133" s="99"/>
      <c r="C133" s="96" t="s">
        <v>98</v>
      </c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8"/>
    </row>
    <row r="134" spans="2:17" ht="15" customHeight="1" x14ac:dyDescent="0.25">
      <c r="B134" s="99"/>
      <c r="C134" s="96" t="s">
        <v>99</v>
      </c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8"/>
    </row>
    <row r="135" spans="2:17" ht="15" customHeight="1" x14ac:dyDescent="0.25">
      <c r="B135" s="99"/>
      <c r="C135" s="96" t="s">
        <v>101</v>
      </c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8"/>
    </row>
    <row r="136" spans="2:17" s="96" customFormat="1" ht="15" customHeight="1" x14ac:dyDescent="0.2">
      <c r="B136" s="99"/>
      <c r="C136" s="96" t="s">
        <v>106</v>
      </c>
    </row>
    <row r="137" spans="2:17" s="96" customFormat="1" ht="15" customHeight="1" x14ac:dyDescent="0.2">
      <c r="B137" s="99" t="s">
        <v>102</v>
      </c>
    </row>
    <row r="138" spans="2:17" s="96" customFormat="1" ht="15" customHeight="1" x14ac:dyDescent="0.2">
      <c r="B138" s="99" t="s">
        <v>103</v>
      </c>
    </row>
    <row r="139" spans="2:17" ht="15" customHeight="1" x14ac:dyDescent="0.25">
      <c r="B139" s="99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8"/>
    </row>
    <row r="140" spans="2:17" ht="15" customHeight="1" x14ac:dyDescent="0.25">
      <c r="B140" s="1" t="s">
        <v>88</v>
      </c>
    </row>
    <row r="141" spans="2:17" ht="15" customHeight="1" x14ac:dyDescent="0.25">
      <c r="B141" s="1"/>
      <c r="C141" s="96" t="s">
        <v>89</v>
      </c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82"/>
    </row>
    <row r="142" spans="2:17" ht="15" customHeight="1" x14ac:dyDescent="0.25">
      <c r="B142" s="1"/>
      <c r="C142" s="96" t="s">
        <v>90</v>
      </c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82"/>
    </row>
    <row r="143" spans="2:17" ht="15" customHeight="1" x14ac:dyDescent="0.25">
      <c r="B143" s="1"/>
      <c r="C143" s="96" t="s">
        <v>91</v>
      </c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82"/>
    </row>
    <row r="144" spans="2:17" ht="15" customHeight="1" x14ac:dyDescent="0.25">
      <c r="B144" s="1"/>
      <c r="C144" s="96" t="s">
        <v>92</v>
      </c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82"/>
    </row>
    <row r="145" spans="2:17" ht="15" customHeight="1" x14ac:dyDescent="0.25">
      <c r="B145" s="82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82"/>
    </row>
    <row r="146" spans="2:17" ht="15" customHeight="1" x14ac:dyDescent="0.25">
      <c r="B146" s="175" t="s">
        <v>110</v>
      </c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82"/>
    </row>
    <row r="147" spans="2:17" ht="15" customHeight="1" x14ac:dyDescent="0.25">
      <c r="B147" s="175" t="s">
        <v>112</v>
      </c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82"/>
    </row>
    <row r="148" spans="2:17" ht="15" customHeight="1" x14ac:dyDescent="0.25">
      <c r="B148" s="82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82"/>
    </row>
    <row r="149" spans="2:17" ht="15" customHeight="1" x14ac:dyDescent="0.25">
      <c r="B149" s="82"/>
      <c r="C149" s="96"/>
      <c r="D149" s="96"/>
      <c r="E149" s="96"/>
      <c r="F149" s="96"/>
      <c r="G149" s="96"/>
      <c r="H149" s="96"/>
      <c r="I149" s="96"/>
      <c r="J149" s="96"/>
      <c r="K149" s="96"/>
      <c r="L149" s="96" t="s">
        <v>22</v>
      </c>
      <c r="M149" s="96"/>
      <c r="N149" s="96"/>
      <c r="O149" s="96"/>
      <c r="P149" s="96"/>
      <c r="Q149" s="82"/>
    </row>
    <row r="150" spans="2:17" ht="15" customHeight="1" x14ac:dyDescent="0.25">
      <c r="B150" s="82"/>
      <c r="C150" s="96"/>
      <c r="D150" s="96"/>
      <c r="E150" s="96"/>
      <c r="F150" s="96"/>
      <c r="G150" s="96"/>
      <c r="H150" s="96"/>
      <c r="I150" s="96"/>
      <c r="J150" s="96"/>
      <c r="K150" s="96"/>
      <c r="L150" s="96" t="s">
        <v>23</v>
      </c>
      <c r="M150" s="96"/>
      <c r="N150" s="96"/>
      <c r="O150" s="96"/>
      <c r="P150" s="96"/>
      <c r="Q150" s="82"/>
    </row>
    <row r="151" spans="2:17" ht="15" customHeight="1" x14ac:dyDescent="0.25">
      <c r="B151" s="82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82"/>
    </row>
    <row r="152" spans="2:17" ht="15" customHeight="1" x14ac:dyDescent="0.25"/>
    <row r="153" spans="2:17" ht="15" customHeight="1" x14ac:dyDescent="0.25"/>
    <row r="154" spans="2:17" ht="15" customHeight="1" x14ac:dyDescent="0.25"/>
    <row r="155" spans="2:17" ht="15" customHeight="1" x14ac:dyDescent="0.25"/>
    <row r="156" spans="2:17" ht="15" customHeight="1" x14ac:dyDescent="0.25"/>
    <row r="157" spans="2:17" ht="15" customHeight="1" x14ac:dyDescent="0.25"/>
    <row r="158" spans="2:17" ht="15" customHeight="1" x14ac:dyDescent="0.25"/>
    <row r="159" spans="2:17" ht="15" customHeight="1" x14ac:dyDescent="0.25"/>
  </sheetData>
  <mergeCells count="23">
    <mergeCell ref="B146:P146"/>
    <mergeCell ref="B147:P147"/>
    <mergeCell ref="B123:P123"/>
    <mergeCell ref="B124:P124"/>
    <mergeCell ref="B125:P125"/>
    <mergeCell ref="H119:N119"/>
    <mergeCell ref="O26:O27"/>
    <mergeCell ref="P26:P27"/>
    <mergeCell ref="B46:P46"/>
    <mergeCell ref="B64:P64"/>
    <mergeCell ref="B76:P76"/>
    <mergeCell ref="B75:P75"/>
    <mergeCell ref="B63:P63"/>
    <mergeCell ref="B45:P45"/>
    <mergeCell ref="D26:E26"/>
    <mergeCell ref="F26:G26"/>
    <mergeCell ref="H26:I26"/>
    <mergeCell ref="J26:K26"/>
    <mergeCell ref="L26:M26"/>
    <mergeCell ref="N26:N27"/>
    <mergeCell ref="B9:P9"/>
    <mergeCell ref="H117:N117"/>
    <mergeCell ref="H118:N11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cols>
    <col min="2" max="2" width="14.5703125" customWidth="1"/>
  </cols>
  <sheetData>
    <row r="3" spans="2:2" x14ac:dyDescent="0.25">
      <c r="B3" s="104">
        <f>1723393.32+567944+652993</f>
        <v>2944330.3200000003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Računovodstvo</cp:lastModifiedBy>
  <cp:lastPrinted>2023-02-02T12:30:06Z</cp:lastPrinted>
  <dcterms:created xsi:type="dcterms:W3CDTF">2022-01-28T07:37:17Z</dcterms:created>
  <dcterms:modified xsi:type="dcterms:W3CDTF">2023-02-02T12:31:02Z</dcterms:modified>
</cp:coreProperties>
</file>