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I\FINANCIJSKI IZVJEŠTAJI\STATISTIKA 2024\Fin. izvještaji 1.1.-30.6\Izvještaj o izvršenju financijskog plana 1.1.-30.6.2024\Usvojeno\"/>
    </mc:Choice>
  </mc:AlternateContent>
  <bookViews>
    <workbookView xWindow="0" yWindow="0" windowWidth="28800" windowHeight="12300"/>
  </bookViews>
  <sheets>
    <sheet name="SAŽETAK " sheetId="17" r:id="rId1"/>
    <sheet name="Račun prihoda i rashoda - škola" sheetId="16" r:id="rId2"/>
    <sheet name="Račun prihoda i rashoda - dom" sheetId="15" r:id="rId3"/>
    <sheet name="Rashodi prema izvorima fin.-šk" sheetId="5" r:id="rId4"/>
    <sheet name="Rashodi prema izvorima fin.-dom" sheetId="13" r:id="rId5"/>
    <sheet name="Rashodi prema funkcijskoj k " sheetId="8" r:id="rId6"/>
    <sheet name="Račun financiranja" sheetId="6" r:id="rId7"/>
    <sheet name="Račun fin prema izvorima f" sheetId="10" r:id="rId8"/>
    <sheet name="POSEBNI DIO-škola" sheetId="7" r:id="rId9"/>
    <sheet name="POSEBNI DIO-dom" sheetId="1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7" l="1"/>
  <c r="G175" i="7"/>
  <c r="G171" i="7"/>
  <c r="G169" i="7"/>
  <c r="G96" i="7"/>
  <c r="G25" i="7"/>
  <c r="G21" i="7"/>
  <c r="G28" i="14"/>
  <c r="G27" i="14"/>
  <c r="E43" i="5"/>
  <c r="I11" i="15"/>
  <c r="I15" i="15"/>
  <c r="I16" i="15"/>
  <c r="H15" i="15"/>
  <c r="G15" i="15"/>
  <c r="G16" i="15"/>
  <c r="G182" i="7" l="1"/>
  <c r="G181" i="7"/>
  <c r="G178" i="7"/>
  <c r="G168" i="7"/>
  <c r="G167" i="7" s="1"/>
  <c r="G23" i="7" l="1"/>
  <c r="E24" i="5"/>
  <c r="G39" i="7"/>
  <c r="G38" i="7" s="1"/>
  <c r="F39" i="7"/>
  <c r="F38" i="7" s="1"/>
  <c r="G26" i="5"/>
  <c r="G59" i="7"/>
  <c r="G58" i="7"/>
  <c r="G49" i="7"/>
  <c r="E51" i="5"/>
  <c r="E48" i="5" s="1"/>
  <c r="E45" i="5"/>
  <c r="G113" i="7"/>
  <c r="F113" i="7"/>
  <c r="I81" i="16" l="1"/>
  <c r="I75" i="16"/>
  <c r="I74" i="16"/>
  <c r="I115" i="16"/>
  <c r="I100" i="16"/>
  <c r="I94" i="16"/>
  <c r="I93" i="16"/>
  <c r="I92" i="16"/>
  <c r="I88" i="16"/>
  <c r="I87" i="16"/>
  <c r="I85" i="16"/>
  <c r="I83" i="16"/>
  <c r="I80" i="16"/>
  <c r="I77" i="16"/>
  <c r="I76" i="16"/>
  <c r="I73" i="16"/>
  <c r="I70" i="16"/>
  <c r="I68" i="16"/>
  <c r="I64" i="16"/>
  <c r="G64" i="16"/>
  <c r="I49" i="16"/>
  <c r="I38" i="16"/>
  <c r="I33" i="16"/>
  <c r="I21" i="16"/>
  <c r="J21" i="16" s="1"/>
  <c r="G117" i="7" l="1"/>
  <c r="G139" i="7" l="1"/>
  <c r="G130" i="7"/>
  <c r="E21" i="5"/>
  <c r="I43" i="15" l="1"/>
  <c r="I26" i="15"/>
  <c r="E24" i="13"/>
  <c r="E9" i="13"/>
  <c r="G75" i="14"/>
  <c r="G74" i="14" s="1"/>
  <c r="F75" i="14"/>
  <c r="F74" i="14" s="1"/>
  <c r="G10" i="14"/>
  <c r="G9" i="14" s="1"/>
  <c r="G79" i="14"/>
  <c r="F79" i="14"/>
  <c r="F78" i="14" s="1"/>
  <c r="F77" i="14" s="1"/>
  <c r="I46" i="15"/>
  <c r="I70" i="15"/>
  <c r="I53" i="15"/>
  <c r="I50" i="15"/>
  <c r="I49" i="15"/>
  <c r="I45" i="15"/>
  <c r="I44" i="15"/>
  <c r="I42" i="15"/>
  <c r="E31" i="13"/>
  <c r="E18" i="13"/>
  <c r="G55" i="14"/>
  <c r="G51" i="14"/>
  <c r="G50" i="14"/>
  <c r="G49" i="14"/>
  <c r="G48" i="14"/>
  <c r="G45" i="14"/>
  <c r="G44" i="14"/>
  <c r="G39" i="14"/>
  <c r="G38" i="14"/>
  <c r="G21" i="14"/>
  <c r="G19" i="14"/>
  <c r="G78" i="14" l="1"/>
  <c r="F168" i="7"/>
  <c r="F171" i="7"/>
  <c r="H170" i="7"/>
  <c r="H169" i="7"/>
  <c r="F139" i="7"/>
  <c r="F133" i="7"/>
  <c r="F130" i="7"/>
  <c r="F135" i="7"/>
  <c r="F89" i="7"/>
  <c r="G72" i="7"/>
  <c r="F72" i="7"/>
  <c r="H73" i="7"/>
  <c r="F55" i="7"/>
  <c r="F49" i="7"/>
  <c r="F25" i="7"/>
  <c r="F23" i="7"/>
  <c r="F52" i="14"/>
  <c r="F42" i="14"/>
  <c r="F39" i="14"/>
  <c r="F50" i="14"/>
  <c r="F55" i="14"/>
  <c r="F51" i="14"/>
  <c r="F49" i="14"/>
  <c r="F48" i="14"/>
  <c r="F47" i="14"/>
  <c r="F45" i="14"/>
  <c r="F44" i="14"/>
  <c r="F40" i="14"/>
  <c r="F38" i="14"/>
  <c r="F21" i="14"/>
  <c r="F19" i="14"/>
  <c r="H100" i="16"/>
  <c r="H92" i="16"/>
  <c r="H87" i="16"/>
  <c r="H86" i="16"/>
  <c r="H81" i="16"/>
  <c r="H80" i="16"/>
  <c r="H76" i="16"/>
  <c r="H75" i="16"/>
  <c r="H74" i="16"/>
  <c r="H73" i="16"/>
  <c r="H69" i="16"/>
  <c r="H59" i="15"/>
  <c r="H53" i="15"/>
  <c r="H52" i="15"/>
  <c r="H50" i="15"/>
  <c r="H49" i="15"/>
  <c r="H46" i="15"/>
  <c r="H45" i="15"/>
  <c r="H44" i="15"/>
  <c r="H43" i="15"/>
  <c r="H42" i="15"/>
  <c r="F167" i="7" l="1"/>
  <c r="F166" i="7" s="1"/>
  <c r="H168" i="7"/>
  <c r="G77" i="14"/>
  <c r="F10" i="7"/>
  <c r="H16" i="16"/>
  <c r="C51" i="5"/>
  <c r="C48" i="5" s="1"/>
  <c r="C34" i="5"/>
  <c r="C18" i="5" l="1"/>
  <c r="C24" i="5" l="1"/>
  <c r="C10" i="5"/>
  <c r="C9" i="5" s="1"/>
  <c r="C18" i="13"/>
  <c r="E12" i="13"/>
  <c r="H22" i="15"/>
  <c r="H21" i="15" s="1"/>
  <c r="H19" i="15"/>
  <c r="G49" i="15"/>
  <c r="G45" i="15"/>
  <c r="G44" i="15"/>
  <c r="G43" i="15"/>
  <c r="G42" i="15"/>
  <c r="G119" i="16"/>
  <c r="G115" i="16"/>
  <c r="G100" i="16"/>
  <c r="G99" i="16" s="1"/>
  <c r="G98" i="16" s="1"/>
  <c r="G97" i="16"/>
  <c r="G94" i="16"/>
  <c r="G93" i="16"/>
  <c r="G92" i="16"/>
  <c r="G88" i="16"/>
  <c r="G87" i="16"/>
  <c r="G80" i="16"/>
  <c r="G76" i="16"/>
  <c r="G75" i="16"/>
  <c r="G74" i="16"/>
  <c r="G73" i="16"/>
  <c r="G70" i="16"/>
  <c r="G68" i="16"/>
  <c r="G77" i="16"/>
  <c r="I34" i="16"/>
  <c r="H79" i="16"/>
  <c r="H34" i="16"/>
  <c r="H37" i="16"/>
  <c r="H36" i="16" s="1"/>
  <c r="H44" i="16"/>
  <c r="H43" i="16" s="1"/>
  <c r="G83" i="16"/>
  <c r="G81" i="16"/>
  <c r="G64" i="15"/>
  <c r="G33" i="16"/>
  <c r="G29" i="16"/>
  <c r="G38" i="16"/>
  <c r="G49" i="16"/>
  <c r="G104" i="16"/>
  <c r="G103" i="16" s="1"/>
  <c r="G69" i="16"/>
  <c r="G60" i="16"/>
  <c r="G59" i="16"/>
  <c r="H18" i="15" l="1"/>
  <c r="G41" i="15"/>
  <c r="J25" i="17"/>
  <c r="K24" i="17"/>
  <c r="J24" i="17"/>
  <c r="I15" i="17"/>
  <c r="J14" i="17"/>
  <c r="K14" i="17"/>
  <c r="J13" i="17"/>
  <c r="K13" i="17"/>
  <c r="G15" i="17"/>
  <c r="I12" i="17"/>
  <c r="K11" i="17"/>
  <c r="J11" i="17"/>
  <c r="H12" i="17"/>
  <c r="G12" i="17"/>
  <c r="I16" i="17" l="1"/>
  <c r="G16" i="17"/>
  <c r="H15" i="17"/>
  <c r="H16" i="17" s="1"/>
  <c r="J12" i="17"/>
  <c r="J10" i="17"/>
  <c r="K12" i="17"/>
  <c r="J15" i="17"/>
  <c r="K10" i="17"/>
  <c r="G76" i="7"/>
  <c r="F179" i="7"/>
  <c r="G179" i="7"/>
  <c r="J16" i="17" l="1"/>
  <c r="K16" i="17"/>
  <c r="K15" i="17"/>
  <c r="G146" i="7" l="1"/>
  <c r="G145" i="7" s="1"/>
  <c r="G129" i="7" l="1"/>
  <c r="F146" i="7"/>
  <c r="F145" i="7" s="1"/>
  <c r="H152" i="7"/>
  <c r="H148" i="7"/>
  <c r="H147" i="7"/>
  <c r="H146" i="7" l="1"/>
  <c r="H145" i="7"/>
  <c r="G10" i="8"/>
  <c r="G11" i="8"/>
  <c r="F10" i="8"/>
  <c r="F11" i="8"/>
  <c r="E9" i="8"/>
  <c r="D9" i="8"/>
  <c r="D8" i="8" s="1"/>
  <c r="H20" i="7"/>
  <c r="H21" i="7"/>
  <c r="H22" i="7"/>
  <c r="H24" i="7"/>
  <c r="H26" i="7"/>
  <c r="H27" i="7"/>
  <c r="H28" i="7"/>
  <c r="H29" i="7"/>
  <c r="H31" i="7"/>
  <c r="H43" i="7"/>
  <c r="H44" i="7"/>
  <c r="H45" i="7"/>
  <c r="H47" i="7"/>
  <c r="H48" i="7"/>
  <c r="H50" i="7"/>
  <c r="H52" i="7"/>
  <c r="H53" i="7"/>
  <c r="H54" i="7"/>
  <c r="H56" i="7"/>
  <c r="H59" i="7"/>
  <c r="H61" i="7"/>
  <c r="H62" i="7"/>
  <c r="H63" i="7"/>
  <c r="H64" i="7"/>
  <c r="H65" i="7"/>
  <c r="H67" i="7"/>
  <c r="H81" i="7"/>
  <c r="H82" i="7"/>
  <c r="H90" i="7"/>
  <c r="H91" i="7"/>
  <c r="H92" i="7"/>
  <c r="H94" i="7"/>
  <c r="H97" i="7"/>
  <c r="H101" i="7"/>
  <c r="H117" i="7"/>
  <c r="H119" i="7"/>
  <c r="H121" i="7"/>
  <c r="H127" i="7"/>
  <c r="H128" i="7"/>
  <c r="H130" i="7"/>
  <c r="H132" i="7"/>
  <c r="H133" i="7"/>
  <c r="H135" i="7"/>
  <c r="H138" i="7"/>
  <c r="H139" i="7"/>
  <c r="H140" i="7"/>
  <c r="H141" i="7"/>
  <c r="H142" i="7"/>
  <c r="H144" i="7"/>
  <c r="H156" i="7"/>
  <c r="H157" i="7"/>
  <c r="G177" i="7"/>
  <c r="G160" i="7"/>
  <c r="G159" i="7" s="1"/>
  <c r="G155" i="7"/>
  <c r="G126" i="7"/>
  <c r="G120" i="7"/>
  <c r="F120" i="7"/>
  <c r="G116" i="7"/>
  <c r="G93" i="7"/>
  <c r="G89" i="7"/>
  <c r="G84" i="7"/>
  <c r="F84" i="7"/>
  <c r="F83" i="7" s="1"/>
  <c r="G80" i="7"/>
  <c r="G75" i="7" s="1"/>
  <c r="G13" i="7" s="1"/>
  <c r="F76" i="7"/>
  <c r="G70" i="7"/>
  <c r="G42" i="7"/>
  <c r="F42" i="7"/>
  <c r="G19" i="7"/>
  <c r="G9" i="8" l="1"/>
  <c r="G164" i="7"/>
  <c r="G163" i="7" s="1"/>
  <c r="G176" i="7"/>
  <c r="E8" i="8"/>
  <c r="G8" i="8" s="1"/>
  <c r="H120" i="7"/>
  <c r="G115" i="7"/>
  <c r="G112" i="7" s="1"/>
  <c r="H42" i="7"/>
  <c r="G158" i="7"/>
  <c r="G154" i="7"/>
  <c r="G14" i="7" s="1"/>
  <c r="H14" i="7" s="1"/>
  <c r="G46" i="7"/>
  <c r="H49" i="7"/>
  <c r="G83" i="7"/>
  <c r="E16" i="13"/>
  <c r="D16" i="13"/>
  <c r="C16" i="13"/>
  <c r="I12" i="15"/>
  <c r="I13" i="15"/>
  <c r="H12" i="15"/>
  <c r="G12" i="15"/>
  <c r="H15" i="7" l="1"/>
  <c r="G56" i="14"/>
  <c r="G62" i="14"/>
  <c r="F62" i="14"/>
  <c r="F61" i="14" s="1"/>
  <c r="H73" i="14"/>
  <c r="H69" i="14"/>
  <c r="H72" i="14"/>
  <c r="H71" i="14"/>
  <c r="H70" i="14"/>
  <c r="H68" i="14"/>
  <c r="H66" i="14"/>
  <c r="H67" i="14"/>
  <c r="H65" i="14"/>
  <c r="H64" i="14"/>
  <c r="H63" i="14"/>
  <c r="F56" i="14"/>
  <c r="G35" i="14" l="1"/>
  <c r="F35" i="14"/>
  <c r="H62" i="14"/>
  <c r="G61" i="14"/>
  <c r="H56" i="14" s="1"/>
  <c r="G30" i="14"/>
  <c r="F30" i="14"/>
  <c r="E14" i="5"/>
  <c r="G11" i="13"/>
  <c r="G13" i="13"/>
  <c r="G15" i="13"/>
  <c r="G19" i="13"/>
  <c r="G26" i="13"/>
  <c r="G28" i="13"/>
  <c r="G32" i="13"/>
  <c r="F11" i="13"/>
  <c r="F13" i="13"/>
  <c r="F15" i="13"/>
  <c r="F19" i="13"/>
  <c r="F26" i="13"/>
  <c r="F28" i="13"/>
  <c r="F32" i="13"/>
  <c r="H61" i="14" l="1"/>
  <c r="I118" i="16"/>
  <c r="H118" i="16"/>
  <c r="G118" i="16"/>
  <c r="H116" i="16"/>
  <c r="G116" i="16"/>
  <c r="K115" i="16"/>
  <c r="J115" i="16"/>
  <c r="I113" i="16"/>
  <c r="H113" i="16"/>
  <c r="G113" i="16"/>
  <c r="J112" i="16"/>
  <c r="I111" i="16"/>
  <c r="H111" i="16"/>
  <c r="G111" i="16"/>
  <c r="J109" i="16"/>
  <c r="I108" i="16"/>
  <c r="I107" i="16" s="1"/>
  <c r="H108" i="16"/>
  <c r="H107" i="16" s="1"/>
  <c r="G108" i="16"/>
  <c r="G107" i="16" s="1"/>
  <c r="I104" i="16"/>
  <c r="J102" i="16"/>
  <c r="J100" i="16"/>
  <c r="K100" i="16"/>
  <c r="I99" i="16"/>
  <c r="I98" i="16" s="1"/>
  <c r="H99" i="16"/>
  <c r="H98" i="16" s="1"/>
  <c r="J97" i="16"/>
  <c r="K97" i="16"/>
  <c r="J96" i="16"/>
  <c r="J95" i="16"/>
  <c r="K95" i="16"/>
  <c r="J94" i="16"/>
  <c r="K94" i="16"/>
  <c r="J93" i="16"/>
  <c r="K93" i="16"/>
  <c r="J92" i="16"/>
  <c r="K92" i="16"/>
  <c r="I91" i="16"/>
  <c r="G91" i="16"/>
  <c r="J90" i="16"/>
  <c r="K90" i="16"/>
  <c r="I89" i="16"/>
  <c r="H89" i="16"/>
  <c r="G89" i="16"/>
  <c r="J88" i="16"/>
  <c r="K88" i="16"/>
  <c r="J87" i="16"/>
  <c r="K87" i="16"/>
  <c r="J86" i="16"/>
  <c r="K86" i="16"/>
  <c r="J84" i="16"/>
  <c r="K84" i="16"/>
  <c r="J83" i="16"/>
  <c r="K83" i="16"/>
  <c r="J81" i="16"/>
  <c r="K81" i="16"/>
  <c r="J80" i="16"/>
  <c r="K80" i="16"/>
  <c r="I79" i="16"/>
  <c r="G79" i="16"/>
  <c r="J78" i="16"/>
  <c r="K78" i="16"/>
  <c r="J77" i="16"/>
  <c r="K77" i="16"/>
  <c r="J76" i="16"/>
  <c r="K76" i="16"/>
  <c r="J75" i="16"/>
  <c r="K75" i="16"/>
  <c r="J74" i="16"/>
  <c r="K74" i="16"/>
  <c r="J73" i="16"/>
  <c r="K73" i="16"/>
  <c r="I72" i="16"/>
  <c r="G72" i="16"/>
  <c r="J70" i="16"/>
  <c r="K70" i="16"/>
  <c r="K69" i="16"/>
  <c r="J69" i="16"/>
  <c r="K68" i="16"/>
  <c r="J68" i="16"/>
  <c r="H67" i="16"/>
  <c r="I67" i="16"/>
  <c r="G67" i="16"/>
  <c r="K65" i="16"/>
  <c r="K63" i="16"/>
  <c r="J63" i="16"/>
  <c r="H62" i="16"/>
  <c r="I62" i="16"/>
  <c r="G62" i="16"/>
  <c r="K61" i="16"/>
  <c r="J61" i="16"/>
  <c r="K60" i="16"/>
  <c r="J60" i="16"/>
  <c r="K59" i="16"/>
  <c r="J59" i="16"/>
  <c r="I58" i="16"/>
  <c r="H58" i="16"/>
  <c r="G58" i="16"/>
  <c r="K49" i="16"/>
  <c r="J49" i="16"/>
  <c r="I48" i="16"/>
  <c r="H48" i="16"/>
  <c r="G48" i="16"/>
  <c r="G47" i="16" s="1"/>
  <c r="G46" i="16" s="1"/>
  <c r="K45" i="16"/>
  <c r="J45" i="16"/>
  <c r="I44" i="16"/>
  <c r="K44" i="16" s="1"/>
  <c r="G44" i="16"/>
  <c r="H42" i="16"/>
  <c r="J41" i="16"/>
  <c r="I40" i="16"/>
  <c r="G40" i="16"/>
  <c r="G39" i="16" s="1"/>
  <c r="J38" i="16"/>
  <c r="K38" i="16"/>
  <c r="I37" i="16"/>
  <c r="I36" i="16" s="1"/>
  <c r="G37" i="16"/>
  <c r="G36" i="16" s="1"/>
  <c r="J35" i="16"/>
  <c r="K33" i="16"/>
  <c r="K32" i="16"/>
  <c r="J32" i="16"/>
  <c r="I31" i="16"/>
  <c r="H31" i="16"/>
  <c r="H30" i="16" s="1"/>
  <c r="K29" i="16"/>
  <c r="J29" i="16"/>
  <c r="I28" i="16"/>
  <c r="H27" i="16"/>
  <c r="G28" i="16"/>
  <c r="G27" i="16" s="1"/>
  <c r="K26" i="16"/>
  <c r="J26" i="16"/>
  <c r="I25" i="16"/>
  <c r="H25" i="16"/>
  <c r="H20" i="16" s="1"/>
  <c r="G25" i="16"/>
  <c r="J22" i="16"/>
  <c r="G21" i="16"/>
  <c r="K19" i="16"/>
  <c r="J19" i="16"/>
  <c r="I18" i="16"/>
  <c r="H18" i="16"/>
  <c r="G18" i="16"/>
  <c r="K16" i="16"/>
  <c r="G15" i="16"/>
  <c r="I15" i="16"/>
  <c r="H15" i="16"/>
  <c r="I13" i="16"/>
  <c r="J72" i="15"/>
  <c r="I71" i="15"/>
  <c r="H71" i="15"/>
  <c r="G71" i="15"/>
  <c r="K70" i="15"/>
  <c r="J70" i="15"/>
  <c r="G68" i="15"/>
  <c r="I68" i="15"/>
  <c r="H68" i="15"/>
  <c r="K65" i="15"/>
  <c r="J65" i="15"/>
  <c r="I64" i="15"/>
  <c r="I63" i="15" s="1"/>
  <c r="H64" i="15"/>
  <c r="H63" i="15"/>
  <c r="K62" i="15"/>
  <c r="J62" i="15"/>
  <c r="K61" i="15"/>
  <c r="K60" i="15"/>
  <c r="K59" i="15"/>
  <c r="J59" i="15"/>
  <c r="K58" i="15"/>
  <c r="J58" i="15"/>
  <c r="I57" i="15"/>
  <c r="H57" i="15"/>
  <c r="G57" i="15"/>
  <c r="K56" i="15"/>
  <c r="J56" i="15"/>
  <c r="K54" i="15"/>
  <c r="J54" i="15"/>
  <c r="K53" i="15"/>
  <c r="J53" i="15"/>
  <c r="K51" i="15"/>
  <c r="K50" i="15"/>
  <c r="I48" i="15"/>
  <c r="H48" i="15"/>
  <c r="K47" i="15"/>
  <c r="J46" i="15"/>
  <c r="K46" i="15"/>
  <c r="J45" i="15"/>
  <c r="K45" i="15"/>
  <c r="K44" i="15"/>
  <c r="K43" i="15"/>
  <c r="H41" i="15"/>
  <c r="K40" i="15"/>
  <c r="J40" i="15"/>
  <c r="K39" i="15"/>
  <c r="I38" i="15"/>
  <c r="H38" i="15"/>
  <c r="K30" i="15"/>
  <c r="J30" i="15"/>
  <c r="I29" i="15"/>
  <c r="H29" i="15"/>
  <c r="H28" i="15" s="1"/>
  <c r="H27" i="15" s="1"/>
  <c r="G29" i="15"/>
  <c r="G28" i="15" s="1"/>
  <c r="G27" i="15" s="1"/>
  <c r="K26" i="15"/>
  <c r="J26" i="15"/>
  <c r="I25" i="15"/>
  <c r="H25" i="15"/>
  <c r="H24" i="15" s="1"/>
  <c r="H11" i="15" s="1"/>
  <c r="H10" i="15" s="1"/>
  <c r="G25" i="15"/>
  <c r="G24" i="15" s="1"/>
  <c r="K23" i="15"/>
  <c r="J23" i="15"/>
  <c r="K22" i="15"/>
  <c r="G22" i="15"/>
  <c r="G21" i="15" s="1"/>
  <c r="K20" i="15"/>
  <c r="J20" i="15"/>
  <c r="I19" i="15"/>
  <c r="I18" i="15" s="1"/>
  <c r="G19" i="15"/>
  <c r="J19" i="15" l="1"/>
  <c r="H12" i="16"/>
  <c r="H11" i="16" s="1"/>
  <c r="H10" i="16" s="1"/>
  <c r="J71" i="15"/>
  <c r="K19" i="15"/>
  <c r="K68" i="15"/>
  <c r="G110" i="16"/>
  <c r="G106" i="16" s="1"/>
  <c r="I20" i="16"/>
  <c r="K20" i="16" s="1"/>
  <c r="K98" i="16"/>
  <c r="J44" i="16"/>
  <c r="K57" i="15"/>
  <c r="K25" i="15"/>
  <c r="I21" i="15"/>
  <c r="K21" i="15" s="1"/>
  <c r="K18" i="15"/>
  <c r="G67" i="15"/>
  <c r="G66" i="15" s="1"/>
  <c r="I110" i="16"/>
  <c r="I106" i="16" s="1"/>
  <c r="J64" i="16"/>
  <c r="K48" i="16"/>
  <c r="K18" i="16"/>
  <c r="H110" i="16"/>
  <c r="H106" i="16" s="1"/>
  <c r="H47" i="16"/>
  <c r="H46" i="16" s="1"/>
  <c r="K15" i="16"/>
  <c r="G18" i="15"/>
  <c r="J28" i="16"/>
  <c r="J29" i="15"/>
  <c r="J113" i="16"/>
  <c r="J111" i="16"/>
  <c r="J91" i="16"/>
  <c r="G66" i="16"/>
  <c r="J72" i="16"/>
  <c r="J37" i="16"/>
  <c r="K31" i="16"/>
  <c r="J64" i="15"/>
  <c r="G63" i="15"/>
  <c r="J63" i="15" s="1"/>
  <c r="H31" i="15"/>
  <c r="G48" i="15"/>
  <c r="J48" i="15" s="1"/>
  <c r="K52" i="15"/>
  <c r="G31" i="16"/>
  <c r="J31" i="16" s="1"/>
  <c r="I43" i="16"/>
  <c r="J48" i="16"/>
  <c r="K62" i="16"/>
  <c r="K67" i="16"/>
  <c r="J108" i="16"/>
  <c r="K113" i="16"/>
  <c r="G57" i="16"/>
  <c r="I24" i="15"/>
  <c r="J24" i="15" s="1"/>
  <c r="I28" i="15"/>
  <c r="J28" i="15" s="1"/>
  <c r="K29" i="15"/>
  <c r="K38" i="15"/>
  <c r="I41" i="15"/>
  <c r="I37" i="15" s="1"/>
  <c r="J44" i="15"/>
  <c r="J57" i="15"/>
  <c r="K64" i="15"/>
  <c r="I67" i="15"/>
  <c r="I66" i="15" s="1"/>
  <c r="J66" i="15" s="1"/>
  <c r="J18" i="16"/>
  <c r="K25" i="16"/>
  <c r="I27" i="16"/>
  <c r="K27" i="16" s="1"/>
  <c r="K28" i="16"/>
  <c r="K37" i="16"/>
  <c r="J62" i="16"/>
  <c r="J67" i="16"/>
  <c r="K89" i="16"/>
  <c r="G38" i="15"/>
  <c r="J38" i="15" s="1"/>
  <c r="H67" i="15"/>
  <c r="H66" i="15" s="1"/>
  <c r="I12" i="16"/>
  <c r="K12" i="16" s="1"/>
  <c r="J25" i="16"/>
  <c r="J40" i="16"/>
  <c r="G43" i="16"/>
  <c r="G42" i="16" s="1"/>
  <c r="I57" i="16"/>
  <c r="H64" i="16"/>
  <c r="K64" i="16" s="1"/>
  <c r="J65" i="16"/>
  <c r="J89" i="16"/>
  <c r="K99" i="16"/>
  <c r="K79" i="16"/>
  <c r="J15" i="16"/>
  <c r="G12" i="16"/>
  <c r="G20" i="16"/>
  <c r="I30" i="16"/>
  <c r="J33" i="16"/>
  <c r="I39" i="16"/>
  <c r="J39" i="16" s="1"/>
  <c r="I47" i="16"/>
  <c r="J58" i="16"/>
  <c r="I66" i="16"/>
  <c r="H72" i="16"/>
  <c r="K72" i="16" s="1"/>
  <c r="J98" i="16"/>
  <c r="H104" i="16"/>
  <c r="J16" i="16"/>
  <c r="K58" i="16"/>
  <c r="J79" i="16"/>
  <c r="H91" i="16"/>
  <c r="K91" i="16" s="1"/>
  <c r="J99" i="16"/>
  <c r="J107" i="16"/>
  <c r="G34" i="16"/>
  <c r="J34" i="16" s="1"/>
  <c r="I103" i="16"/>
  <c r="K48" i="15"/>
  <c r="K63" i="15"/>
  <c r="H37" i="15"/>
  <c r="H36" i="15" s="1"/>
  <c r="J42" i="15"/>
  <c r="J22" i="15"/>
  <c r="J25" i="15"/>
  <c r="K42" i="15"/>
  <c r="J43" i="15"/>
  <c r="K49" i="15"/>
  <c r="J50" i="15"/>
  <c r="J52" i="15"/>
  <c r="J68" i="15"/>
  <c r="J39" i="15"/>
  <c r="J49" i="15"/>
  <c r="J67" i="15" l="1"/>
  <c r="J18" i="15"/>
  <c r="G56" i="16"/>
  <c r="J20" i="16"/>
  <c r="K66" i="15"/>
  <c r="G11" i="15"/>
  <c r="G10" i="15" s="1"/>
  <c r="G31" i="15" s="1"/>
  <c r="K24" i="15"/>
  <c r="K67" i="15"/>
  <c r="J43" i="16"/>
  <c r="J27" i="16"/>
  <c r="H66" i="16"/>
  <c r="K66" i="16" s="1"/>
  <c r="H57" i="16"/>
  <c r="H103" i="16"/>
  <c r="H35" i="15"/>
  <c r="K41" i="15"/>
  <c r="J41" i="15"/>
  <c r="I10" i="15"/>
  <c r="J21" i="15"/>
  <c r="K106" i="16"/>
  <c r="K110" i="16"/>
  <c r="H50" i="16"/>
  <c r="J110" i="16"/>
  <c r="G55" i="16"/>
  <c r="J106" i="16"/>
  <c r="J12" i="16"/>
  <c r="J36" i="16"/>
  <c r="K36" i="16"/>
  <c r="J57" i="16"/>
  <c r="K43" i="16"/>
  <c r="I42" i="16"/>
  <c r="K42" i="16" s="1"/>
  <c r="K28" i="15"/>
  <c r="I27" i="15"/>
  <c r="G37" i="15"/>
  <c r="G36" i="15" s="1"/>
  <c r="G35" i="15" s="1"/>
  <c r="K30" i="16"/>
  <c r="I56" i="16"/>
  <c r="K47" i="16"/>
  <c r="J47" i="16"/>
  <c r="I46" i="16"/>
  <c r="G30" i="16"/>
  <c r="G11" i="16" s="1"/>
  <c r="J66" i="16"/>
  <c r="I11" i="16"/>
  <c r="I36" i="15"/>
  <c r="K37" i="15"/>
  <c r="J11" i="15" l="1"/>
  <c r="H56" i="16"/>
  <c r="H55" i="16" s="1"/>
  <c r="K57" i="16"/>
  <c r="K11" i="15"/>
  <c r="J37" i="15"/>
  <c r="G50" i="16"/>
  <c r="G10" i="16"/>
  <c r="J27" i="15"/>
  <c r="K27" i="15"/>
  <c r="J42" i="16"/>
  <c r="I55" i="16"/>
  <c r="J56" i="16"/>
  <c r="K46" i="16"/>
  <c r="J46" i="16"/>
  <c r="J30" i="16"/>
  <c r="J11" i="16"/>
  <c r="I10" i="16"/>
  <c r="K11" i="16"/>
  <c r="J36" i="15"/>
  <c r="I35" i="15"/>
  <c r="K36" i="15"/>
  <c r="J10" i="15"/>
  <c r="I31" i="15"/>
  <c r="K10" i="15"/>
  <c r="C9" i="8"/>
  <c r="E33" i="5"/>
  <c r="K56" i="16" l="1"/>
  <c r="C8" i="8"/>
  <c r="F8" i="8" s="1"/>
  <c r="F9" i="8"/>
  <c r="J10" i="16"/>
  <c r="I50" i="16"/>
  <c r="K10" i="16"/>
  <c r="J55" i="16"/>
  <c r="K55" i="16"/>
  <c r="J35" i="15"/>
  <c r="K35" i="15"/>
  <c r="K31" i="15"/>
  <c r="J31" i="15"/>
  <c r="G11" i="5"/>
  <c r="G15" i="5"/>
  <c r="G20" i="5"/>
  <c r="G23" i="5"/>
  <c r="G35" i="5"/>
  <c r="G39" i="5"/>
  <c r="G44" i="5"/>
  <c r="G47" i="5"/>
  <c r="G50" i="5"/>
  <c r="F10" i="5"/>
  <c r="F11" i="5"/>
  <c r="F13" i="5"/>
  <c r="F15" i="5"/>
  <c r="F19" i="5"/>
  <c r="F20" i="5"/>
  <c r="F21" i="5"/>
  <c r="F23" i="5"/>
  <c r="F25" i="5"/>
  <c r="F26" i="5"/>
  <c r="F34" i="5"/>
  <c r="F35" i="5"/>
  <c r="F39" i="5"/>
  <c r="F44" i="5"/>
  <c r="F47" i="5"/>
  <c r="F49" i="5"/>
  <c r="F50" i="5"/>
  <c r="G34" i="5"/>
  <c r="E46" i="5"/>
  <c r="E22" i="5"/>
  <c r="E18" i="5"/>
  <c r="G45" i="5"/>
  <c r="D24" i="5"/>
  <c r="G24" i="5" s="1"/>
  <c r="G43" i="5"/>
  <c r="E36" i="5"/>
  <c r="E38" i="5"/>
  <c r="E16" i="5"/>
  <c r="E9" i="5"/>
  <c r="E12" i="5"/>
  <c r="D48" i="5"/>
  <c r="G48" i="5" s="1"/>
  <c r="D40" i="5"/>
  <c r="G21" i="5"/>
  <c r="G10" i="5"/>
  <c r="D46" i="5"/>
  <c r="D38" i="5"/>
  <c r="D36" i="5"/>
  <c r="H36" i="14"/>
  <c r="H37" i="14"/>
  <c r="H39" i="14"/>
  <c r="H41" i="14"/>
  <c r="H42" i="14"/>
  <c r="H43" i="14"/>
  <c r="H45" i="14"/>
  <c r="H46" i="14"/>
  <c r="H47" i="14"/>
  <c r="H49" i="14"/>
  <c r="H50" i="14"/>
  <c r="H51" i="14"/>
  <c r="H52" i="14"/>
  <c r="H53" i="14"/>
  <c r="H54" i="14"/>
  <c r="H55" i="14"/>
  <c r="H57" i="14"/>
  <c r="H59" i="14"/>
  <c r="E8" i="5" l="1"/>
  <c r="E30" i="5" s="1"/>
  <c r="G41" i="5"/>
  <c r="E42" i="5"/>
  <c r="F17" i="5"/>
  <c r="G46" i="5"/>
  <c r="G38" i="5"/>
  <c r="K50" i="16"/>
  <c r="J50" i="16"/>
  <c r="D33" i="5"/>
  <c r="G33" i="5" s="1"/>
  <c r="E40" i="5"/>
  <c r="F41" i="5"/>
  <c r="F43" i="5"/>
  <c r="D42" i="5"/>
  <c r="D16" i="5"/>
  <c r="G16" i="5" s="1"/>
  <c r="G19" i="5"/>
  <c r="D22" i="5"/>
  <c r="G22" i="5" s="1"/>
  <c r="D18" i="5"/>
  <c r="D14" i="5"/>
  <c r="G14" i="5" s="1"/>
  <c r="D12" i="5"/>
  <c r="D9" i="5"/>
  <c r="F9" i="14"/>
  <c r="F177" i="7"/>
  <c r="F176" i="7" s="1"/>
  <c r="F175" i="7" s="1"/>
  <c r="F160" i="7"/>
  <c r="E32" i="5" l="1"/>
  <c r="D32" i="5"/>
  <c r="F159" i="7"/>
  <c r="G9" i="5"/>
  <c r="D8" i="5"/>
  <c r="D30" i="5" s="1"/>
  <c r="G18" i="5"/>
  <c r="G40" i="5"/>
  <c r="G17" i="5"/>
  <c r="G42" i="5"/>
  <c r="F164" i="7"/>
  <c r="F163" i="7" s="1"/>
  <c r="F162" i="7" s="1"/>
  <c r="F155" i="7"/>
  <c r="H155" i="7" s="1"/>
  <c r="F126" i="7"/>
  <c r="H126" i="7" s="1"/>
  <c r="F129" i="7"/>
  <c r="H129" i="7" s="1"/>
  <c r="F143" i="7"/>
  <c r="F116" i="7"/>
  <c r="H116" i="7" s="1"/>
  <c r="G143" i="7"/>
  <c r="G125" i="7" s="1"/>
  <c r="F109" i="7"/>
  <c r="G107" i="7"/>
  <c r="F107" i="7"/>
  <c r="G105" i="7"/>
  <c r="F105" i="7"/>
  <c r="F93" i="7"/>
  <c r="H89" i="7"/>
  <c r="F70" i="7"/>
  <c r="G68" i="7"/>
  <c r="F68" i="7"/>
  <c r="G66" i="7"/>
  <c r="F66" i="7"/>
  <c r="H58" i="7"/>
  <c r="H55" i="7"/>
  <c r="H51" i="7"/>
  <c r="G35" i="7"/>
  <c r="F35" i="7"/>
  <c r="G30" i="7"/>
  <c r="G18" i="7" s="1"/>
  <c r="F30" i="7"/>
  <c r="H25" i="7"/>
  <c r="H23" i="7"/>
  <c r="H13" i="7"/>
  <c r="G10" i="7" l="1"/>
  <c r="G88" i="7"/>
  <c r="H93" i="7"/>
  <c r="F88" i="7"/>
  <c r="G32" i="5"/>
  <c r="G8" i="5"/>
  <c r="H72" i="7"/>
  <c r="G41" i="7"/>
  <c r="H66" i="7"/>
  <c r="H164" i="7"/>
  <c r="H30" i="7"/>
  <c r="F158" i="7"/>
  <c r="G162" i="7"/>
  <c r="H143" i="7"/>
  <c r="G34" i="7"/>
  <c r="F19" i="7"/>
  <c r="F46" i="7"/>
  <c r="H163" i="7"/>
  <c r="G30" i="5"/>
  <c r="F154" i="7"/>
  <c r="H154" i="7" s="1"/>
  <c r="F125" i="7"/>
  <c r="F115" i="7"/>
  <c r="G17" i="7"/>
  <c r="F34" i="7"/>
  <c r="F80" i="7"/>
  <c r="H80" i="7" s="1"/>
  <c r="F9" i="7"/>
  <c r="G58" i="14"/>
  <c r="G34" i="14" s="1"/>
  <c r="F58" i="14"/>
  <c r="F34" i="14" s="1"/>
  <c r="H48" i="14"/>
  <c r="H44" i="14"/>
  <c r="H40" i="14"/>
  <c r="H31" i="14"/>
  <c r="H32" i="14"/>
  <c r="H33" i="14"/>
  <c r="G29" i="14"/>
  <c r="H20" i="14"/>
  <c r="H22" i="14"/>
  <c r="H23" i="14"/>
  <c r="H24" i="14"/>
  <c r="H25" i="14"/>
  <c r="H26" i="14"/>
  <c r="G18" i="14"/>
  <c r="G17" i="14" s="1"/>
  <c r="G16" i="14" s="1"/>
  <c r="G15" i="14" s="1"/>
  <c r="H21" i="14"/>
  <c r="F29" i="14"/>
  <c r="F28" i="14" s="1"/>
  <c r="H11" i="14"/>
  <c r="H12" i="14"/>
  <c r="H13" i="14"/>
  <c r="G11" i="7" l="1"/>
  <c r="G33" i="7"/>
  <c r="G12" i="7"/>
  <c r="H12" i="7" s="1"/>
  <c r="H115" i="7"/>
  <c r="H171" i="7"/>
  <c r="H162" i="7"/>
  <c r="H125" i="7"/>
  <c r="F41" i="7"/>
  <c r="H41" i="7" s="1"/>
  <c r="H46" i="7"/>
  <c r="G16" i="7"/>
  <c r="F18" i="7"/>
  <c r="F17" i="7" s="1"/>
  <c r="H19" i="7"/>
  <c r="H88" i="7"/>
  <c r="F75" i="7"/>
  <c r="H75" i="7" s="1"/>
  <c r="H19" i="14"/>
  <c r="F18" i="14"/>
  <c r="F17" i="14" s="1"/>
  <c r="H58" i="14"/>
  <c r="H34" i="14"/>
  <c r="H29" i="14"/>
  <c r="H38" i="14"/>
  <c r="H30" i="14"/>
  <c r="F48" i="5"/>
  <c r="C46" i="5"/>
  <c r="F46" i="5" s="1"/>
  <c r="C42" i="5"/>
  <c r="C40" i="5"/>
  <c r="F40" i="5" s="1"/>
  <c r="C38" i="5"/>
  <c r="C36" i="5"/>
  <c r="C33" i="5"/>
  <c r="F24" i="5"/>
  <c r="C22" i="5"/>
  <c r="F22" i="5" s="1"/>
  <c r="F18" i="5"/>
  <c r="C16" i="5"/>
  <c r="F16" i="5" s="1"/>
  <c r="C14" i="5"/>
  <c r="C12" i="5"/>
  <c r="F12" i="5" s="1"/>
  <c r="E29" i="13"/>
  <c r="E27" i="13"/>
  <c r="E14" i="13"/>
  <c r="E8" i="13" s="1"/>
  <c r="D31" i="13"/>
  <c r="D27" i="13"/>
  <c r="D24" i="13"/>
  <c r="D18" i="13"/>
  <c r="D14" i="13"/>
  <c r="D12" i="13"/>
  <c r="D9" i="13"/>
  <c r="C27" i="13"/>
  <c r="C29" i="13"/>
  <c r="C24" i="13"/>
  <c r="C31" i="13"/>
  <c r="C14" i="13"/>
  <c r="C12" i="13"/>
  <c r="C9" i="13"/>
  <c r="G9" i="7" l="1"/>
  <c r="H9" i="7" s="1"/>
  <c r="F112" i="7"/>
  <c r="F33" i="7" s="1"/>
  <c r="F32" i="7" s="1"/>
  <c r="C23" i="13"/>
  <c r="E21" i="13"/>
  <c r="G166" i="7"/>
  <c r="H166" i="7" s="1"/>
  <c r="H167" i="7"/>
  <c r="H18" i="14"/>
  <c r="H17" i="14"/>
  <c r="F16" i="14"/>
  <c r="F38" i="5"/>
  <c r="C32" i="5"/>
  <c r="F32" i="5" s="1"/>
  <c r="F42" i="5"/>
  <c r="F14" i="5"/>
  <c r="C8" i="5"/>
  <c r="C30" i="5" s="1"/>
  <c r="H18" i="7"/>
  <c r="F16" i="7"/>
  <c r="H16" i="7" s="1"/>
  <c r="H17" i="7"/>
  <c r="H10" i="7"/>
  <c r="G14" i="13"/>
  <c r="F14" i="13"/>
  <c r="D29" i="13"/>
  <c r="G29" i="13" s="1"/>
  <c r="G30" i="13"/>
  <c r="F18" i="13"/>
  <c r="G18" i="13"/>
  <c r="G31" i="13"/>
  <c r="F31" i="13"/>
  <c r="F24" i="13"/>
  <c r="G24" i="13"/>
  <c r="D23" i="13"/>
  <c r="G9" i="13"/>
  <c r="F9" i="13"/>
  <c r="F12" i="13"/>
  <c r="G12" i="13"/>
  <c r="G27" i="13"/>
  <c r="F27" i="13"/>
  <c r="H35" i="14"/>
  <c r="F33" i="5"/>
  <c r="F9" i="5"/>
  <c r="D8" i="13"/>
  <c r="D21" i="13" s="1"/>
  <c r="E23" i="13"/>
  <c r="C8" i="13"/>
  <c r="C21" i="13" s="1"/>
  <c r="G32" i="7" l="1"/>
  <c r="H32" i="7" s="1"/>
  <c r="G21" i="13"/>
  <c r="F21" i="13"/>
  <c r="F15" i="14"/>
  <c r="H15" i="14" s="1"/>
  <c r="H16" i="14"/>
  <c r="F8" i="5"/>
  <c r="H33" i="7"/>
  <c r="F23" i="13"/>
  <c r="G23" i="13"/>
  <c r="F30" i="5"/>
  <c r="F27" i="14"/>
  <c r="H27" i="14" s="1"/>
  <c r="H28" i="14"/>
  <c r="F8" i="13"/>
  <c r="G8" i="13"/>
  <c r="H10" i="14" l="1"/>
  <c r="H9" i="14"/>
</calcChain>
</file>

<file path=xl/sharedStrings.xml><?xml version="1.0" encoding="utf-8"?>
<sst xmlns="http://schemas.openxmlformats.org/spreadsheetml/2006/main" count="873" uniqueCount="248">
  <si>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</si>
  <si>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</si>
  <si>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</si>
  <si>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</si>
  <si>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</si>
  <si>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</si>
  <si>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</si>
  <si>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</si>
  <si>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</si>
  <si>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</si>
  <si>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</si>
  <si>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</si>
  <si>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</si>
  <si>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</si>
  <si>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</si>
  <si>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</si>
  <si>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</si>
  <si>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</si>
  <si>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</si>
  <si>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</si>
  <si>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</si>
  <si>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</si>
  <si>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</si>
  <si>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</si>
  <si>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</si>
  <si>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</si>
  <si>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</si>
  <si>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</si>
  <si>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</si>
  <si>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</si>
  <si>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</si>
  <si>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</si>
  <si>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</si>
  <si>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</si>
  <si>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</si>
  <si>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</si>
  <si>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</si>
  <si>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</si>
  <si>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</si>
  <si>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</si>
  <si>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</si>
  <si>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</si>
  <si>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</si>
  <si>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</si>
  <si>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</si>
  <si>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</si>
  <si>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</si>
  <si>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</si>
  <si>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</si>
  <si>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</si>
  <si>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</si>
  <si>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</si>
  <si>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</si>
  <si>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</si>
  <si>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</si>
  <si>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</si>
  <si>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</si>
  <si>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</si>
  <si>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</si>
  <si>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</si>
  <si>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</si>
  <si>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</si>
  <si>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</si>
  <si>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</si>
  <si>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</si>
  <si>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</si>
  <si>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</si>
  <si>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</si>
  <si>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</si>
  <si>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</si>
  <si>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</si>
  <si>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</si>
  <si>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</si>
  <si>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</si>
  <si>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</si>
  <si>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UČENIČKI DOM</t>
  </si>
  <si>
    <t>SREDNJA ŠKOLA BEDEKOVČINA</t>
  </si>
  <si>
    <t>Prihodi po posebnim propisima</t>
  </si>
  <si>
    <t>Ostali nespomenuti prihodi</t>
  </si>
  <si>
    <t>Prihodi od prodaje proizvoda i robe te pruženih usluga i prihodi od donacija</t>
  </si>
  <si>
    <t>Prihodi od pruženih usluga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</si>
  <si>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</si>
  <si>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</si>
  <si>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</si>
  <si>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 xml:space="preserve">Višak prihoda </t>
  </si>
  <si>
    <t>Višak prihoda poslovanja iz prethodnih godina</t>
  </si>
  <si>
    <t>UKUPNO PRIHODI + VIŠAK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</si>
  <si>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</si>
  <si>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</si>
  <si>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</si>
  <si>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</si>
  <si>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</si>
  <si>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</si>
  <si>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</si>
  <si>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</si>
  <si>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</si>
  <si>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</si>
  <si>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</si>
  <si>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</si>
  <si>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Računalne usluge</t>
  </si>
  <si>
    <t>Ostale usluge</t>
  </si>
  <si>
    <t>Premije osiguranja</t>
  </si>
  <si>
    <t>Reprezentacija</t>
  </si>
  <si>
    <t>Pristojbe i naknade</t>
  </si>
  <si>
    <t>Ostali nespomenuti rashodi poslovanja</t>
  </si>
  <si>
    <t>Rashodi za materijal i energiju</t>
  </si>
  <si>
    <t>Rashodi za usluge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</si>
  <si>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</si>
  <si>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</si>
  <si>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</si>
  <si>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</si>
  <si>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</si>
  <si>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Uređaji, strojevi i oprema za ostale namjene</t>
  </si>
  <si>
    <t>Nematerijalna proizvedena imovina</t>
  </si>
  <si>
    <t>Ulaganja u računalne programe</t>
  </si>
  <si>
    <t>Intelektualne i osobne usluge</t>
  </si>
  <si>
    <t>-</t>
  </si>
  <si>
    <t>13 Decentralizacija</t>
  </si>
  <si>
    <t>4 Prihodi za posebne namjene</t>
  </si>
  <si>
    <t>43 Ostali prihodi za posebne namjene</t>
  </si>
  <si>
    <t>9 Višak</t>
  </si>
  <si>
    <t>91 Višak (prihodi posebne namjene)</t>
  </si>
  <si>
    <t>4 Prihodi posebne namjene</t>
  </si>
  <si>
    <t>Decentralizacija</t>
  </si>
  <si>
    <t>5=4/2*100</t>
  </si>
  <si>
    <t>2 Donacije</t>
  </si>
  <si>
    <t>21 Donacije</t>
  </si>
  <si>
    <t>5 Pomoći</t>
  </si>
  <si>
    <t>52 Ministarstvo</t>
  </si>
  <si>
    <t>54 JLS</t>
  </si>
  <si>
    <t>57 Ministarstvo - prijenos EU</t>
  </si>
  <si>
    <t>7 Prihodi od prodaje nefinancijske imovine</t>
  </si>
  <si>
    <t>71 Prihodi od prodaje nefinancijske imovine</t>
  </si>
  <si>
    <t>91 Višak (Ministarstvo)</t>
  </si>
  <si>
    <t>91 Višak (Ministarstvo - prijenos EU)</t>
  </si>
  <si>
    <t>Pomoći iz inozemstva i od subjekata unutar općeg proračuna</t>
  </si>
  <si>
    <t>Prihodi od imovine</t>
  </si>
  <si>
    <t>UČENIČKI DOM BEDEKOVČINA</t>
  </si>
  <si>
    <t>IZVORI FINANCIRANJA UKUPNO</t>
  </si>
  <si>
    <t>Opći prihodi i primici</t>
  </si>
  <si>
    <t>Vlastiti prihodi</t>
  </si>
  <si>
    <t>Prihodi za posebne namjene</t>
  </si>
  <si>
    <t>PROGRAM J01 1002</t>
  </si>
  <si>
    <t>UČENIČKI DOM - ZAKONSKI STANDARD</t>
  </si>
  <si>
    <t>AKTIVNOST A102000</t>
  </si>
  <si>
    <t>REDOVNI POSLOVI UČENIČKOG DOMA</t>
  </si>
  <si>
    <t>PROGRAM J01 1003</t>
  </si>
  <si>
    <t>DOPUNSKI NASTAVNI I VANNASTAVNI PROGRAM ŠKOLA I OBRAZOVNIH INSTITUCIJA</t>
  </si>
  <si>
    <t>AKTIVNOST A102003</t>
  </si>
  <si>
    <t>FINANCIRANJE - OSTALI RASHODI - UD</t>
  </si>
  <si>
    <t>Prihodi posebne namjene</t>
  </si>
  <si>
    <t>Donacije</t>
  </si>
  <si>
    <t>Ministarstvo</t>
  </si>
  <si>
    <t>PROGRAM J01 1001</t>
  </si>
  <si>
    <t>SREDNJEŠKOLSKO OBRAZOVANJE - ZAKONSKI STANDARD</t>
  </si>
  <si>
    <t>REDOVNI POSLOVI USTANOVA SREDNJEŠKOLSKOG OBRAZOVANJA</t>
  </si>
  <si>
    <t>Zakupnine i najamnine</t>
  </si>
  <si>
    <t>Ostali rashodi za zaposlene</t>
  </si>
  <si>
    <t>Doprinosi za obvezno zdravstveno osiguranje</t>
  </si>
  <si>
    <t>Intelektualne usluge</t>
  </si>
  <si>
    <t>Licence</t>
  </si>
  <si>
    <t>Ulaganje u računalne programe</t>
  </si>
  <si>
    <t>Građevinski objekti</t>
  </si>
  <si>
    <t>Knjige</t>
  </si>
  <si>
    <t>JLS PK</t>
  </si>
  <si>
    <t>Ministarstvo prijenos EU PK</t>
  </si>
  <si>
    <t>AKTIVNOST A102002</t>
  </si>
  <si>
    <t>FINANCIRANJE - OSTALI RASHODI SŠ</t>
  </si>
  <si>
    <t>TEKUĆI PROJEKT T103000</t>
  </si>
  <si>
    <t>DOPUNSKA SREDSTVA ZA MATERIJALNE RASHODE I OPREMU ŠKOLA</t>
  </si>
  <si>
    <t>ŠKOLSKA SHEMA</t>
  </si>
  <si>
    <t>PROGRAM GRAĐANSKOG ODGOJA U ŠKOLAMA</t>
  </si>
  <si>
    <t>Ostali rashodi</t>
  </si>
  <si>
    <t>Tekuće donacije</t>
  </si>
  <si>
    <t>4=3/2*100</t>
  </si>
  <si>
    <t>91 Višak (Prihodi posebne namjene)</t>
  </si>
  <si>
    <t>6=4/3*100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</si>
  <si>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</si>
  <si>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</si>
  <si>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</si>
  <si>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</si>
  <si>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</si>
  <si>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</si>
  <si>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</si>
  <si>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</si>
  <si>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642</t>
  </si>
  <si>
    <t>Prihodi od nefinancijske imovine</t>
  </si>
  <si>
    <t>6422</t>
  </si>
  <si>
    <t>Prihodi od zakupa i iznajmljivanja imovine</t>
  </si>
  <si>
    <t>Ostali prihodi</t>
  </si>
  <si>
    <t>Plaće za prekovremeni rad</t>
  </si>
  <si>
    <t>Plaće za posebne uvjete rada</t>
  </si>
  <si>
    <t>Doprinosi na plaće</t>
  </si>
  <si>
    <t>Naknade za prijevoz, za rad na terenu i odvojeni život</t>
  </si>
  <si>
    <t>Sitni inventar  auto gume</t>
  </si>
  <si>
    <t>Naknade troškova osobama izvan radnog odnosa</t>
  </si>
  <si>
    <t>Članarine i norme</t>
  </si>
  <si>
    <t>Troškovi sudskih postupaka</t>
  </si>
  <si>
    <t>Negativne tečajne razlike i razlike zbog primjene valutne klauzule</t>
  </si>
  <si>
    <t>Zatezne kamate</t>
  </si>
  <si>
    <t>Nematerijalna imovina</t>
  </si>
  <si>
    <t>Poslovni objekti</t>
  </si>
  <si>
    <t>Uredska oprema i namještaj</t>
  </si>
  <si>
    <t>Knjige, umjetnička djela i ostale izložbene vrijednosti</t>
  </si>
  <si>
    <t>SREDNJA ŠKOLA BEDEKOVČINA I UČENIČKI DOM</t>
  </si>
  <si>
    <t>09 Obrazovanje</t>
  </si>
  <si>
    <t>096 Dodatne usluge u obrazovanju</t>
  </si>
  <si>
    <t>092 Srednjoškolsko obrazovanje</t>
  </si>
  <si>
    <t>641</t>
  </si>
  <si>
    <t>Prihodi od financijske imovine</t>
  </si>
  <si>
    <t>Kamate na oročena sredstva i depozite po viđenju</t>
  </si>
  <si>
    <t>Prihodi od pozitivnih tečajnih razlika i razlika zbog primjene valutne klauzule</t>
  </si>
  <si>
    <t>Višak prihoda</t>
  </si>
  <si>
    <t>Tekuće donacije u naravi</t>
  </si>
  <si>
    <t>,</t>
  </si>
  <si>
    <t>634</t>
  </si>
  <si>
    <t>6341</t>
  </si>
  <si>
    <t>Tekuće pomoći od izvanproračunskih korisnika</t>
  </si>
  <si>
    <t>6362</t>
  </si>
  <si>
    <t>Kapitalne pomoći proračunskim korisnicima iz proračuna koji im nije nadležan</t>
  </si>
  <si>
    <t>Ostale naknade troškova zaposlenima</t>
  </si>
  <si>
    <t>91 Višak (Opći prihodi i primici)</t>
  </si>
  <si>
    <t>Višak (Prihodi posebne namjene)</t>
  </si>
  <si>
    <t>Prihodi posebne namjene - višak</t>
  </si>
  <si>
    <t>Ostali građevinski objekti</t>
  </si>
  <si>
    <t>AKTIVNOST A102006</t>
  </si>
  <si>
    <t>Ministarstvo - višak</t>
  </si>
  <si>
    <t>Ministarstvo prijenos EU PK - višak</t>
  </si>
  <si>
    <t>SAŽETAK RAČUNA PRIHODA I RASHODA I RAČUNA FINANCIRANJA</t>
  </si>
  <si>
    <t xml:space="preserve">OSTVARENJE/IZVRŠENJE 
1.1.-30.6.2023. </t>
  </si>
  <si>
    <t xml:space="preserve">OSTVARENJE/IZVRŠENJE 1.1.-30.6.2023. </t>
  </si>
  <si>
    <t>IZVORNI PLAN ILI REBALANS 2024.*</t>
  </si>
  <si>
    <t xml:space="preserve">OSTVARENJE/IZVRŠENJE 
1.1.-30.6.2024. </t>
  </si>
  <si>
    <t xml:space="preserve">OSTVARENJE/ IZVRŠENJE 
1.1.-30.6.2023. </t>
  </si>
  <si>
    <t xml:space="preserve">OSTVARENJE/ IZVRŠENJE 
1.1.-30.6.2024. </t>
  </si>
  <si>
    <t xml:space="preserve">OSTVARENJE/ IZVRŠENJE 1.1.-30.6.2023. </t>
  </si>
  <si>
    <t xml:space="preserve"> IZVRŠENJE 
1.1.-30.6.2023. </t>
  </si>
  <si>
    <t xml:space="preserve"> IZVRŠENJE 
1.1.-30.6.2024. </t>
  </si>
  <si>
    <t>Oprema</t>
  </si>
  <si>
    <t>TEKUĆI PROJEKT T103025</t>
  </si>
  <si>
    <t>Višak (Opći prihodi i primici)</t>
  </si>
  <si>
    <t>Prihodi od zateznih kamata</t>
  </si>
  <si>
    <t>91 Višak (Donacije)</t>
  </si>
  <si>
    <t>Višak (opć prihodi i primici)</t>
  </si>
  <si>
    <t>Donacije - višak</t>
  </si>
  <si>
    <t>Ravnateljica: Vera Hrvoj, univ.spec.pol.</t>
  </si>
  <si>
    <t>Predsjednica Školskog odbora: Daniela Usmiani, prof.</t>
  </si>
  <si>
    <t>IZVJEŠTAJ O IZVRŠENJU FINANCIJSKOG PLANA SREDNJE ŠKOLE BEDEKOVČINA I UČENIČKOG DOMA
ZA RAZDOBLJE OD 1.1. DO 30.6.2024.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</si>
</sst>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1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/>
    <xf numFmtId="3" fontId="17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3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22" fillId="0" borderId="0" xfId="0" applyFont="1"/>
    <xf numFmtId="0" fontId="23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3" fontId="24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/>
    <xf numFmtId="4" fontId="0" fillId="0" borderId="3" xfId="0" applyNumberFormat="1" applyBorder="1"/>
    <xf numFmtId="4" fontId="1" fillId="0" borderId="3" xfId="0" applyNumberFormat="1" applyFont="1" applyBorder="1" applyAlignment="1">
      <alignment horizontal="right"/>
    </xf>
    <xf numFmtId="4" fontId="25" fillId="0" borderId="3" xfId="0" applyNumberFormat="1" applyFont="1" applyBorder="1"/>
    <xf numFmtId="4" fontId="26" fillId="0" borderId="3" xfId="0" applyNumberFormat="1" applyFont="1" applyBorder="1"/>
    <xf numFmtId="4" fontId="0" fillId="0" borderId="3" xfId="0" applyNumberFormat="1" applyBorder="1" applyAlignment="1">
      <alignment horizontal="right"/>
    </xf>
    <xf numFmtId="2" fontId="1" fillId="0" borderId="3" xfId="0" applyNumberFormat="1" applyFont="1" applyBorder="1"/>
    <xf numFmtId="2" fontId="0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4" fontId="10" fillId="2" borderId="4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vertical="center"/>
    </xf>
    <xf numFmtId="4" fontId="8" fillId="3" borderId="3" xfId="0" applyNumberFormat="1" applyFont="1" applyFill="1" applyBorder="1" applyAlignment="1">
      <alignment vertical="center"/>
    </xf>
    <xf numFmtId="4" fontId="8" fillId="0" borderId="3" xfId="0" applyNumberFormat="1" applyFont="1" applyBorder="1" applyAlignment="1">
      <alignment vertical="center" wrapText="1"/>
    </xf>
    <xf numFmtId="4" fontId="8" fillId="3" borderId="3" xfId="0" applyNumberFormat="1" applyFont="1" applyFill="1" applyBorder="1" applyAlignment="1">
      <alignment vertical="center" wrapText="1"/>
    </xf>
    <xf numFmtId="4" fontId="10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7" fillId="3" borderId="3" xfId="0" applyNumberFormat="1" applyFont="1" applyFill="1" applyBorder="1" applyAlignment="1">
      <alignment wrapText="1"/>
    </xf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27" fillId="0" borderId="3" xfId="0" applyNumberFormat="1" applyFont="1" applyBorder="1"/>
    <xf numFmtId="4" fontId="26" fillId="2" borderId="3" xfId="0" applyNumberFormat="1" applyFont="1" applyFill="1" applyBorder="1"/>
    <xf numFmtId="0" fontId="21" fillId="2" borderId="4" xfId="0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wrapText="1"/>
    </xf>
    <xf numFmtId="0" fontId="16" fillId="0" borderId="2" xfId="0" quotePrefix="1" applyFont="1" applyBorder="1" applyAlignment="1">
      <alignment horizontal="center" wrapText="1"/>
    </xf>
    <xf numFmtId="0" fontId="16" fillId="0" borderId="4" xfId="0" quotePrefix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4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left" vertical="center" wrapText="1"/>
    </xf>
    <xf numFmtId="0" fontId="6" fillId="3" borderId="2" xfId="0" quotePrefix="1" applyFont="1" applyFill="1" applyBorder="1" applyAlignment="1">
      <alignment horizontal="left" vertical="center" wrapText="1"/>
    </xf>
    <xf numFmtId="0" fontId="6" fillId="3" borderId="4" xfId="0" quotePrefix="1" applyFont="1" applyFill="1" applyBorder="1" applyAlignment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tabSelected="1" workbookViewId="0">
      <selection activeCell="B1" sqref="B1:K1"/>
    </sheetView>
  </sheetViews>
  <sheetFormatPr defaultRowHeight="15" x14ac:dyDescent="0.25"/>
  <cols>
    <col min="6" max="9" width="25.28515625" customWidth="1"/>
    <col min="10" max="11" width="15.7109375" customWidth="1"/>
    <col min="12" max="12" width="25.28515625" customWidth="1"/>
  </cols>
  <sheetData>
    <row r="1" spans="2:12" ht="42" customHeight="1" x14ac:dyDescent="0.25">
      <c r="B1" s="120" t="s">
        <v>247</v>
      </c>
      <c r="C1" s="120"/>
      <c r="D1" s="120"/>
      <c r="E1" s="120"/>
      <c r="F1" s="120"/>
      <c r="G1" s="120"/>
      <c r="H1" s="120"/>
      <c r="I1" s="120"/>
      <c r="J1" s="120"/>
      <c r="K1" s="120"/>
      <c r="L1" s="31"/>
    </row>
    <row r="2" spans="2:12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75" customHeight="1" x14ac:dyDescent="0.25">
      <c r="B3" s="120" t="s">
        <v>12</v>
      </c>
      <c r="C3" s="120"/>
      <c r="D3" s="120"/>
      <c r="E3" s="120"/>
      <c r="F3" s="120"/>
      <c r="G3" s="120"/>
      <c r="H3" s="120"/>
      <c r="I3" s="120"/>
      <c r="J3" s="120"/>
      <c r="K3" s="120"/>
      <c r="L3" s="30"/>
    </row>
    <row r="4" spans="2:12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2:12" ht="18" customHeight="1" x14ac:dyDescent="0.25">
      <c r="B5" s="120" t="s">
        <v>228</v>
      </c>
      <c r="C5" s="120"/>
      <c r="D5" s="120"/>
      <c r="E5" s="120"/>
      <c r="F5" s="120"/>
      <c r="G5" s="120"/>
      <c r="H5" s="120"/>
      <c r="I5" s="120"/>
      <c r="J5" s="120"/>
      <c r="K5" s="120"/>
      <c r="L5" s="29"/>
    </row>
    <row r="6" spans="2:12" ht="18" customHeight="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29"/>
    </row>
    <row r="7" spans="2:12" ht="18" customHeight="1" x14ac:dyDescent="0.25">
      <c r="B7" s="121" t="s">
        <v>74</v>
      </c>
      <c r="C7" s="121"/>
      <c r="D7" s="121"/>
      <c r="E7" s="121"/>
      <c r="F7" s="121"/>
      <c r="G7" s="5"/>
      <c r="H7" s="6"/>
      <c r="I7" s="6"/>
      <c r="J7" s="33"/>
      <c r="K7" s="33"/>
    </row>
    <row r="8" spans="2:12" ht="25.5" customHeight="1" x14ac:dyDescent="0.25">
      <c r="B8" s="122" t="s">
        <v>8</v>
      </c>
      <c r="C8" s="123"/>
      <c r="D8" s="123"/>
      <c r="E8" s="123"/>
      <c r="F8" s="124"/>
      <c r="G8" s="110" t="s">
        <v>229</v>
      </c>
      <c r="H8" s="110" t="s">
        <v>231</v>
      </c>
      <c r="I8" s="110" t="s">
        <v>232</v>
      </c>
      <c r="J8" s="110" t="s">
        <v>30</v>
      </c>
      <c r="K8" s="110" t="s">
        <v>62</v>
      </c>
    </row>
    <row r="9" spans="2:12" x14ac:dyDescent="0.25">
      <c r="B9" s="125">
        <v>1</v>
      </c>
      <c r="C9" s="126"/>
      <c r="D9" s="126"/>
      <c r="E9" s="126"/>
      <c r="F9" s="127"/>
      <c r="G9" s="37">
        <v>2</v>
      </c>
      <c r="H9" s="36">
        <v>3</v>
      </c>
      <c r="I9" s="36">
        <v>4</v>
      </c>
      <c r="J9" s="36" t="s">
        <v>124</v>
      </c>
      <c r="K9" s="36" t="s">
        <v>176</v>
      </c>
    </row>
    <row r="10" spans="2:12" ht="15" customHeight="1" x14ac:dyDescent="0.25">
      <c r="B10" s="128" t="s">
        <v>32</v>
      </c>
      <c r="C10" s="129"/>
      <c r="D10" s="129"/>
      <c r="E10" s="129"/>
      <c r="F10" s="130"/>
      <c r="G10" s="93">
        <v>1683277.98</v>
      </c>
      <c r="H10" s="21">
        <v>3703256.9</v>
      </c>
      <c r="I10" s="100">
        <v>2026800.27</v>
      </c>
      <c r="J10" s="100">
        <f>I10/G10*100</f>
        <v>120.40793583006415</v>
      </c>
      <c r="K10" s="100">
        <f>I10/H10*100</f>
        <v>54.730209778317032</v>
      </c>
    </row>
    <row r="11" spans="2:12" x14ac:dyDescent="0.25">
      <c r="B11" s="131" t="s">
        <v>31</v>
      </c>
      <c r="C11" s="132"/>
      <c r="D11" s="132"/>
      <c r="E11" s="132"/>
      <c r="F11" s="133"/>
      <c r="G11" s="93">
        <v>241.59</v>
      </c>
      <c r="H11" s="21">
        <v>100</v>
      </c>
      <c r="I11" s="100">
        <v>67.42</v>
      </c>
      <c r="J11" s="100">
        <f>I11/G11*100</f>
        <v>27.906784221201207</v>
      </c>
      <c r="K11" s="100">
        <f t="shared" ref="K11:K16" si="0">I11/H11*100</f>
        <v>67.42</v>
      </c>
    </row>
    <row r="12" spans="2:12" ht="15" customHeight="1" x14ac:dyDescent="0.25">
      <c r="B12" s="134" t="s">
        <v>0</v>
      </c>
      <c r="C12" s="135"/>
      <c r="D12" s="135"/>
      <c r="E12" s="135"/>
      <c r="F12" s="136"/>
      <c r="G12" s="94">
        <f>G10+G11</f>
        <v>1683519.57</v>
      </c>
      <c r="H12" s="20">
        <f>H10+H11</f>
        <v>3703356.9</v>
      </c>
      <c r="I12" s="101">
        <f>I10+I11</f>
        <v>2026867.69</v>
      </c>
      <c r="J12" s="101">
        <f t="shared" ref="J12:J16" si="1">I12/G12*100</f>
        <v>120.39466164328579</v>
      </c>
      <c r="K12" s="101">
        <f t="shared" si="0"/>
        <v>54.730552434738335</v>
      </c>
    </row>
    <row r="13" spans="2:12" ht="15" customHeight="1" x14ac:dyDescent="0.25">
      <c r="B13" s="137" t="s">
        <v>33</v>
      </c>
      <c r="C13" s="138"/>
      <c r="D13" s="138"/>
      <c r="E13" s="138"/>
      <c r="F13" s="139"/>
      <c r="G13" s="95">
        <v>1712903.14</v>
      </c>
      <c r="H13" s="21">
        <v>3786646.9</v>
      </c>
      <c r="I13" s="100">
        <v>2003672.6</v>
      </c>
      <c r="J13" s="100">
        <f t="shared" si="1"/>
        <v>116.97524239461667</v>
      </c>
      <c r="K13" s="100">
        <f t="shared" si="0"/>
        <v>52.914165300176265</v>
      </c>
    </row>
    <row r="14" spans="2:12" x14ac:dyDescent="0.25">
      <c r="B14" s="131" t="s">
        <v>34</v>
      </c>
      <c r="C14" s="132"/>
      <c r="D14" s="132"/>
      <c r="E14" s="132"/>
      <c r="F14" s="133"/>
      <c r="G14" s="93">
        <v>45360.29</v>
      </c>
      <c r="H14" s="21">
        <v>16710</v>
      </c>
      <c r="I14" s="100">
        <v>3068.36</v>
      </c>
      <c r="J14" s="100">
        <f t="shared" si="1"/>
        <v>6.7644188341829388</v>
      </c>
      <c r="K14" s="100">
        <f t="shared" si="0"/>
        <v>18.362417713943746</v>
      </c>
    </row>
    <row r="15" spans="2:12" x14ac:dyDescent="0.25">
      <c r="B15" s="23" t="s">
        <v>1</v>
      </c>
      <c r="C15" s="109"/>
      <c r="D15" s="109"/>
      <c r="E15" s="109"/>
      <c r="F15" s="109"/>
      <c r="G15" s="94">
        <f>G13+G14</f>
        <v>1758263.43</v>
      </c>
      <c r="H15" s="20">
        <f>H13+H14</f>
        <v>3803356.9</v>
      </c>
      <c r="I15" s="102">
        <f>I13+I14</f>
        <v>2006740.9600000002</v>
      </c>
      <c r="J15" s="101">
        <f t="shared" si="1"/>
        <v>114.13198533054857</v>
      </c>
      <c r="K15" s="101">
        <f t="shared" si="0"/>
        <v>52.762362638121083</v>
      </c>
    </row>
    <row r="16" spans="2:12" ht="15" customHeight="1" x14ac:dyDescent="0.25">
      <c r="B16" s="117" t="s">
        <v>2</v>
      </c>
      <c r="C16" s="118"/>
      <c r="D16" s="118"/>
      <c r="E16" s="118"/>
      <c r="F16" s="119"/>
      <c r="G16" s="96">
        <f>G12-G15</f>
        <v>-74743.85999999987</v>
      </c>
      <c r="H16" s="22">
        <f>H12-H15</f>
        <v>-100000</v>
      </c>
      <c r="I16" s="103">
        <f>I12-I15</f>
        <v>20126.729999999749</v>
      </c>
      <c r="J16" s="101">
        <f t="shared" si="1"/>
        <v>-26.927603150278546</v>
      </c>
      <c r="K16" s="101">
        <f t="shared" si="0"/>
        <v>-20.12672999999975</v>
      </c>
    </row>
    <row r="17" spans="1:48" ht="18" x14ac:dyDescent="0.25">
      <c r="B17" s="3"/>
      <c r="C17" s="7"/>
      <c r="D17" s="7"/>
      <c r="E17" s="7"/>
      <c r="F17" s="7"/>
      <c r="G17" s="7"/>
      <c r="H17" s="7"/>
      <c r="I17" s="7"/>
      <c r="J17" s="1"/>
      <c r="K17" s="1"/>
      <c r="L17" s="1"/>
    </row>
    <row r="18" spans="1:48" ht="18" customHeight="1" x14ac:dyDescent="0.25">
      <c r="B18" s="121" t="s">
        <v>71</v>
      </c>
      <c r="C18" s="121"/>
      <c r="D18" s="121"/>
      <c r="E18" s="121"/>
      <c r="F18" s="121"/>
      <c r="G18" s="7"/>
      <c r="H18" s="7"/>
      <c r="I18" s="7"/>
      <c r="J18" s="1"/>
      <c r="K18" s="1"/>
      <c r="L18" s="1"/>
    </row>
    <row r="19" spans="1:48" ht="25.5" customHeight="1" x14ac:dyDescent="0.25">
      <c r="B19" s="122" t="s">
        <v>8</v>
      </c>
      <c r="C19" s="123"/>
      <c r="D19" s="123"/>
      <c r="E19" s="123"/>
      <c r="F19" s="124"/>
      <c r="G19" s="110" t="s">
        <v>230</v>
      </c>
      <c r="H19" s="2" t="s">
        <v>231</v>
      </c>
      <c r="I19" s="2" t="s">
        <v>232</v>
      </c>
      <c r="J19" s="2" t="s">
        <v>30</v>
      </c>
      <c r="K19" s="2" t="s">
        <v>62</v>
      </c>
    </row>
    <row r="20" spans="1:48" x14ac:dyDescent="0.25">
      <c r="B20" s="146">
        <v>1</v>
      </c>
      <c r="C20" s="147"/>
      <c r="D20" s="147"/>
      <c r="E20" s="147"/>
      <c r="F20" s="148"/>
      <c r="G20" s="38">
        <v>2</v>
      </c>
      <c r="H20" s="36">
        <v>3</v>
      </c>
      <c r="I20" s="36">
        <v>4</v>
      </c>
      <c r="J20" s="36" t="s">
        <v>124</v>
      </c>
      <c r="K20" s="36" t="s">
        <v>176</v>
      </c>
    </row>
    <row r="21" spans="1:48" ht="15.75" customHeight="1" x14ac:dyDescent="0.25">
      <c r="B21" s="128" t="s">
        <v>35</v>
      </c>
      <c r="C21" s="129"/>
      <c r="D21" s="129"/>
      <c r="E21" s="129"/>
      <c r="F21" s="130"/>
      <c r="G21" s="97"/>
      <c r="H21" s="21"/>
      <c r="I21" s="100"/>
      <c r="J21" s="100"/>
      <c r="K21" s="100"/>
    </row>
    <row r="22" spans="1:48" ht="15" customHeight="1" x14ac:dyDescent="0.25">
      <c r="B22" s="128" t="s">
        <v>36</v>
      </c>
      <c r="C22" s="129"/>
      <c r="D22" s="129"/>
      <c r="E22" s="129"/>
      <c r="F22" s="130"/>
      <c r="G22" s="95"/>
      <c r="H22" s="21"/>
      <c r="I22" s="100"/>
      <c r="J22" s="100"/>
      <c r="K22" s="100"/>
    </row>
    <row r="23" spans="1:48" ht="15" customHeight="1" x14ac:dyDescent="0.25">
      <c r="B23" s="140" t="s">
        <v>63</v>
      </c>
      <c r="C23" s="141"/>
      <c r="D23" s="141"/>
      <c r="E23" s="141"/>
      <c r="F23" s="142"/>
      <c r="G23" s="98"/>
      <c r="H23" s="39"/>
      <c r="I23" s="104"/>
      <c r="J23" s="104"/>
      <c r="K23" s="104"/>
    </row>
    <row r="24" spans="1:48" s="40" customFormat="1" ht="15" customHeight="1" x14ac:dyDescent="0.25">
      <c r="A24"/>
      <c r="B24" s="128" t="s">
        <v>17</v>
      </c>
      <c r="C24" s="129"/>
      <c r="D24" s="129"/>
      <c r="E24" s="129"/>
      <c r="F24" s="130"/>
      <c r="G24" s="95">
        <v>260716.26</v>
      </c>
      <c r="H24" s="21">
        <v>100000</v>
      </c>
      <c r="I24" s="100">
        <v>141521.42000000001</v>
      </c>
      <c r="J24" s="100">
        <f>I24/G24*100</f>
        <v>54.281777438814139</v>
      </c>
      <c r="K24" s="100">
        <f>I24/H24*100</f>
        <v>141.52142000000001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40" customFormat="1" ht="15" customHeight="1" x14ac:dyDescent="0.25">
      <c r="A25"/>
      <c r="B25" s="128" t="s">
        <v>70</v>
      </c>
      <c r="C25" s="129"/>
      <c r="D25" s="129"/>
      <c r="E25" s="129"/>
      <c r="F25" s="130"/>
      <c r="G25" s="95">
        <v>185972.4</v>
      </c>
      <c r="H25" s="21"/>
      <c r="I25" s="100">
        <v>161648.15</v>
      </c>
      <c r="J25" s="100">
        <f>I25/G25*100</f>
        <v>86.920505408329404</v>
      </c>
      <c r="K25" s="100" t="s">
        <v>116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50" customFormat="1" ht="15" customHeight="1" x14ac:dyDescent="0.25">
      <c r="A26" s="48"/>
      <c r="B26" s="140" t="s">
        <v>72</v>
      </c>
      <c r="C26" s="141"/>
      <c r="D26" s="141"/>
      <c r="E26" s="141"/>
      <c r="F26" s="142"/>
      <c r="G26" s="98"/>
      <c r="H26" s="49"/>
      <c r="I26" s="105"/>
      <c r="J26" s="105"/>
      <c r="K26" s="105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</row>
    <row r="27" spans="1:48" ht="15.75" customHeight="1" x14ac:dyDescent="0.25">
      <c r="B27" s="143" t="s">
        <v>73</v>
      </c>
      <c r="C27" s="144"/>
      <c r="D27" s="144"/>
      <c r="E27" s="144"/>
      <c r="F27" s="145"/>
      <c r="G27" s="99"/>
      <c r="H27" s="41"/>
      <c r="I27" s="106"/>
      <c r="J27" s="106"/>
      <c r="K27" s="106"/>
    </row>
    <row r="29" spans="1:48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48" ht="15.75" x14ac:dyDescent="0.25">
      <c r="G30" s="176"/>
      <c r="H30" s="177" t="s">
        <v>245</v>
      </c>
      <c r="I30" s="177"/>
    </row>
    <row r="31" spans="1:48" ht="26.25" customHeight="1" x14ac:dyDescent="0.25">
      <c r="G31" s="176"/>
      <c r="H31" s="177"/>
      <c r="I31" s="177"/>
    </row>
    <row r="32" spans="1:48" ht="15.75" x14ac:dyDescent="0.25">
      <c r="G32" s="176"/>
      <c r="H32" s="177"/>
      <c r="I32" s="177"/>
    </row>
    <row r="33" spans="7:9" ht="15.75" x14ac:dyDescent="0.25">
      <c r="G33" s="176"/>
      <c r="H33" s="177" t="s">
        <v>246</v>
      </c>
      <c r="I33" s="177"/>
    </row>
  </sheetData>
  <mergeCells count="22">
    <mergeCell ref="B24:F24"/>
    <mergeCell ref="B25:F25"/>
    <mergeCell ref="B26:F26"/>
    <mergeCell ref="B27:F27"/>
    <mergeCell ref="B18:F18"/>
    <mergeCell ref="B19:F19"/>
    <mergeCell ref="B20:F20"/>
    <mergeCell ref="B21:F21"/>
    <mergeCell ref="B22:F22"/>
    <mergeCell ref="B23:F23"/>
    <mergeCell ref="B16:F16"/>
    <mergeCell ref="B1:K1"/>
    <mergeCell ref="B3:K3"/>
    <mergeCell ref="B5:K5"/>
    <mergeCell ref="B7:F7"/>
    <mergeCell ref="B8:F8"/>
    <mergeCell ref="B9:F9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1"/>
  <sheetViews>
    <sheetView workbookViewId="0">
      <selection activeCell="G29" sqref="G29"/>
    </sheetView>
  </sheetViews>
  <sheetFormatPr defaultRowHeight="15" x14ac:dyDescent="0.25"/>
  <cols>
    <col min="2" max="2" width="5.28515625" customWidth="1"/>
    <col min="3" max="3" width="2.5703125" customWidth="1"/>
    <col min="4" max="4" width="4.140625" customWidth="1"/>
    <col min="5" max="5" width="39" customWidth="1"/>
    <col min="6" max="7" width="24.28515625" customWidth="1"/>
    <col min="8" max="8" width="15.7109375" customWidth="1"/>
    <col min="9" max="9" width="24.28515625" customWidth="1"/>
  </cols>
  <sheetData>
    <row r="1" spans="2:9" ht="18" x14ac:dyDescent="0.25">
      <c r="B1" s="3"/>
      <c r="C1" s="3"/>
      <c r="D1" s="3"/>
      <c r="E1" s="3"/>
      <c r="F1" s="3"/>
      <c r="G1" s="3"/>
      <c r="H1" s="4"/>
      <c r="I1" s="4"/>
    </row>
    <row r="2" spans="2:9" ht="18" customHeight="1" x14ac:dyDescent="0.25">
      <c r="B2" s="120" t="s">
        <v>11</v>
      </c>
      <c r="C2" s="120"/>
      <c r="D2" s="120"/>
      <c r="E2" s="120"/>
      <c r="F2" s="120"/>
      <c r="G2" s="120"/>
      <c r="H2" s="120"/>
      <c r="I2" s="29"/>
    </row>
    <row r="3" spans="2:9" ht="18" x14ac:dyDescent="0.25">
      <c r="B3" s="3"/>
      <c r="C3" s="3"/>
      <c r="D3" s="3"/>
      <c r="E3" s="3"/>
      <c r="F3" s="3"/>
      <c r="G3" s="3"/>
      <c r="H3" s="4"/>
      <c r="I3" s="4"/>
    </row>
    <row r="4" spans="2:9" ht="15.75" x14ac:dyDescent="0.25">
      <c r="B4" s="171" t="s">
        <v>69</v>
      </c>
      <c r="C4" s="171"/>
      <c r="D4" s="171"/>
      <c r="E4" s="171"/>
      <c r="F4" s="171"/>
      <c r="G4" s="171"/>
      <c r="H4" s="171"/>
    </row>
    <row r="5" spans="2:9" ht="18" x14ac:dyDescent="0.25">
      <c r="B5" s="3"/>
      <c r="C5" s="3"/>
      <c r="D5" s="3"/>
      <c r="E5" s="3"/>
      <c r="F5" s="3"/>
      <c r="G5" s="3"/>
      <c r="H5" s="4"/>
    </row>
    <row r="6" spans="2:9" ht="25.5" x14ac:dyDescent="0.25">
      <c r="B6" s="152" t="s">
        <v>8</v>
      </c>
      <c r="C6" s="153"/>
      <c r="D6" s="153"/>
      <c r="E6" s="154"/>
      <c r="F6" s="39" t="s">
        <v>231</v>
      </c>
      <c r="G6" s="39" t="s">
        <v>237</v>
      </c>
      <c r="H6" s="39" t="s">
        <v>62</v>
      </c>
    </row>
    <row r="7" spans="2:9" s="45" customFormat="1" ht="11.25" x14ac:dyDescent="0.2">
      <c r="B7" s="155">
        <v>1</v>
      </c>
      <c r="C7" s="156"/>
      <c r="D7" s="156"/>
      <c r="E7" s="157"/>
      <c r="F7" s="42">
        <v>2</v>
      </c>
      <c r="G7" s="42">
        <v>3</v>
      </c>
      <c r="H7" s="42" t="s">
        <v>174</v>
      </c>
    </row>
    <row r="8" spans="2:9" ht="18" customHeight="1" x14ac:dyDescent="0.25">
      <c r="B8" s="167">
        <v>16947</v>
      </c>
      <c r="C8" s="168"/>
      <c r="D8" s="169"/>
      <c r="E8" s="54" t="s">
        <v>137</v>
      </c>
      <c r="F8" s="62"/>
      <c r="G8" s="8"/>
      <c r="H8" s="8"/>
    </row>
    <row r="9" spans="2:9" ht="18" customHeight="1" x14ac:dyDescent="0.25">
      <c r="B9" s="160" t="s">
        <v>138</v>
      </c>
      <c r="C9" s="161"/>
      <c r="D9" s="161"/>
      <c r="E9" s="162"/>
      <c r="F9" s="72">
        <f>SUM(F10:F13)</f>
        <v>240560.9</v>
      </c>
      <c r="G9" s="77">
        <f>SUM(G10:G14)</f>
        <v>81681.36</v>
      </c>
      <c r="H9" s="77">
        <f t="shared" ref="H9:H19" si="0">G9/F9*100</f>
        <v>33.954545397859754</v>
      </c>
    </row>
    <row r="10" spans="2:9" ht="18" customHeight="1" x14ac:dyDescent="0.25">
      <c r="B10" s="172">
        <v>1</v>
      </c>
      <c r="C10" s="173"/>
      <c r="D10" s="174"/>
      <c r="E10" s="51" t="s">
        <v>139</v>
      </c>
      <c r="F10" s="73">
        <v>89060.9</v>
      </c>
      <c r="G10" s="79">
        <f>62004.01+581.68</f>
        <v>62585.69</v>
      </c>
      <c r="H10" s="79">
        <f t="shared" si="0"/>
        <v>70.272914376567059</v>
      </c>
    </row>
    <row r="11" spans="2:9" ht="18" customHeight="1" x14ac:dyDescent="0.25">
      <c r="B11" s="172">
        <v>3</v>
      </c>
      <c r="C11" s="173"/>
      <c r="D11" s="174"/>
      <c r="E11" s="51" t="s">
        <v>140</v>
      </c>
      <c r="F11" s="73">
        <v>4500</v>
      </c>
      <c r="G11" s="90">
        <v>1127.47</v>
      </c>
      <c r="H11" s="79">
        <f t="shared" si="0"/>
        <v>25.054888888888886</v>
      </c>
    </row>
    <row r="12" spans="2:9" ht="18" customHeight="1" x14ac:dyDescent="0.25">
      <c r="B12" s="172">
        <v>4</v>
      </c>
      <c r="C12" s="173"/>
      <c r="D12" s="174"/>
      <c r="E12" s="47" t="s">
        <v>141</v>
      </c>
      <c r="F12" s="73">
        <v>97000</v>
      </c>
      <c r="G12" s="90">
        <v>7068.2</v>
      </c>
      <c r="H12" s="79">
        <f t="shared" si="0"/>
        <v>7.2868041237113408</v>
      </c>
    </row>
    <row r="13" spans="2:9" ht="18" customHeight="1" x14ac:dyDescent="0.25">
      <c r="B13" s="175">
        <v>9</v>
      </c>
      <c r="C13" s="175"/>
      <c r="D13" s="175"/>
      <c r="E13" s="47" t="s">
        <v>222</v>
      </c>
      <c r="F13" s="73">
        <v>50000</v>
      </c>
      <c r="G13" s="90">
        <v>8800</v>
      </c>
      <c r="H13" s="79">
        <f t="shared" si="0"/>
        <v>17.599999999999998</v>
      </c>
    </row>
    <row r="14" spans="2:9" ht="18" customHeight="1" x14ac:dyDescent="0.25">
      <c r="B14" s="175">
        <v>9</v>
      </c>
      <c r="C14" s="175"/>
      <c r="D14" s="175"/>
      <c r="E14" s="47" t="s">
        <v>240</v>
      </c>
      <c r="F14" s="73"/>
      <c r="G14" s="90">
        <v>2100</v>
      </c>
      <c r="H14" s="79" t="s">
        <v>116</v>
      </c>
    </row>
    <row r="15" spans="2:9" s="56" customFormat="1" ht="30" customHeight="1" x14ac:dyDescent="0.25">
      <c r="B15" s="167" t="s">
        <v>142</v>
      </c>
      <c r="C15" s="168"/>
      <c r="D15" s="169"/>
      <c r="E15" s="55" t="s">
        <v>143</v>
      </c>
      <c r="F15" s="72">
        <f t="shared" ref="F15:G17" si="1">F16</f>
        <v>89060.9</v>
      </c>
      <c r="G15" s="89">
        <f t="shared" si="1"/>
        <v>62004.009999999995</v>
      </c>
      <c r="H15" s="77">
        <f t="shared" si="0"/>
        <v>69.6197882572487</v>
      </c>
    </row>
    <row r="16" spans="2:9" s="56" customFormat="1" ht="30" customHeight="1" x14ac:dyDescent="0.25">
      <c r="B16" s="170" t="s">
        <v>144</v>
      </c>
      <c r="C16" s="170"/>
      <c r="D16" s="170"/>
      <c r="E16" s="54" t="s">
        <v>145</v>
      </c>
      <c r="F16" s="72">
        <f t="shared" si="1"/>
        <v>89060.9</v>
      </c>
      <c r="G16" s="89">
        <f t="shared" si="1"/>
        <v>62004.009999999995</v>
      </c>
      <c r="H16" s="77">
        <f t="shared" si="0"/>
        <v>69.6197882572487</v>
      </c>
    </row>
    <row r="17" spans="2:8" s="56" customFormat="1" ht="18" customHeight="1" x14ac:dyDescent="0.25">
      <c r="B17" s="167">
        <v>13</v>
      </c>
      <c r="C17" s="168"/>
      <c r="D17" s="169"/>
      <c r="E17" s="54" t="s">
        <v>123</v>
      </c>
      <c r="F17" s="72">
        <f t="shared" si="1"/>
        <v>89060.9</v>
      </c>
      <c r="G17" s="77">
        <f t="shared" si="1"/>
        <v>62004.009999999995</v>
      </c>
      <c r="H17" s="77">
        <f t="shared" si="0"/>
        <v>69.6197882572487</v>
      </c>
    </row>
    <row r="18" spans="2:8" ht="18" customHeight="1" x14ac:dyDescent="0.25">
      <c r="B18" s="160">
        <v>32</v>
      </c>
      <c r="C18" s="161"/>
      <c r="D18" s="162"/>
      <c r="E18" s="54" t="s">
        <v>13</v>
      </c>
      <c r="F18" s="72">
        <f>SUM(F19:F26)</f>
        <v>89060.9</v>
      </c>
      <c r="G18" s="77">
        <f>SUM(G19:G26)</f>
        <v>62004.009999999995</v>
      </c>
      <c r="H18" s="77">
        <f t="shared" si="0"/>
        <v>69.6197882572487</v>
      </c>
    </row>
    <row r="19" spans="2:8" ht="18" customHeight="1" x14ac:dyDescent="0.25">
      <c r="B19" s="163">
        <v>3221</v>
      </c>
      <c r="C19" s="163"/>
      <c r="D19" s="163"/>
      <c r="E19" s="47" t="s">
        <v>88</v>
      </c>
      <c r="F19" s="73">
        <f>200.9+3980</f>
        <v>4180.8999999999996</v>
      </c>
      <c r="G19" s="79">
        <f>300.09+1847.73</f>
        <v>2147.8200000000002</v>
      </c>
      <c r="H19" s="79">
        <f t="shared" si="0"/>
        <v>51.372192590112185</v>
      </c>
    </row>
    <row r="20" spans="2:8" ht="18" customHeight="1" x14ac:dyDescent="0.25">
      <c r="B20" s="163">
        <v>3222</v>
      </c>
      <c r="C20" s="163"/>
      <c r="D20" s="163"/>
      <c r="E20" s="47" t="s">
        <v>89</v>
      </c>
      <c r="F20" s="73">
        <v>38790</v>
      </c>
      <c r="G20" s="79">
        <v>35822.730000000003</v>
      </c>
      <c r="H20" s="79">
        <f t="shared" ref="H20:H26" si="2">G20/F20*100</f>
        <v>92.350425367362732</v>
      </c>
    </row>
    <row r="21" spans="2:8" ht="18" customHeight="1" x14ac:dyDescent="0.25">
      <c r="B21" s="163">
        <v>3223</v>
      </c>
      <c r="C21" s="163"/>
      <c r="D21" s="163"/>
      <c r="E21" s="47" t="s">
        <v>90</v>
      </c>
      <c r="F21" s="73">
        <f>10300+24000</f>
        <v>34300</v>
      </c>
      <c r="G21" s="79">
        <f>4306.28+12837.98</f>
        <v>17144.259999999998</v>
      </c>
      <c r="H21" s="79">
        <f t="shared" si="2"/>
        <v>49.983265306122441</v>
      </c>
    </row>
    <row r="22" spans="2:8" ht="30" customHeight="1" x14ac:dyDescent="0.25">
      <c r="B22" s="164">
        <v>3224</v>
      </c>
      <c r="C22" s="165"/>
      <c r="D22" s="166"/>
      <c r="E22" s="47" t="s">
        <v>91</v>
      </c>
      <c r="F22" s="73">
        <v>1220</v>
      </c>
      <c r="G22" s="79">
        <v>136.84</v>
      </c>
      <c r="H22" s="79">
        <f t="shared" si="2"/>
        <v>11.216393442622952</v>
      </c>
    </row>
    <row r="23" spans="2:8" ht="18" customHeight="1" x14ac:dyDescent="0.25">
      <c r="B23" s="164">
        <v>3231</v>
      </c>
      <c r="C23" s="165"/>
      <c r="D23" s="166"/>
      <c r="E23" s="47" t="s">
        <v>94</v>
      </c>
      <c r="F23" s="73">
        <v>600</v>
      </c>
      <c r="G23" s="79">
        <v>630.14</v>
      </c>
      <c r="H23" s="79">
        <f t="shared" si="2"/>
        <v>105.02333333333334</v>
      </c>
    </row>
    <row r="24" spans="2:8" ht="18" customHeight="1" x14ac:dyDescent="0.25">
      <c r="B24" s="164">
        <v>3232</v>
      </c>
      <c r="C24" s="165"/>
      <c r="D24" s="166"/>
      <c r="E24" s="47" t="s">
        <v>95</v>
      </c>
      <c r="F24" s="73">
        <v>2150</v>
      </c>
      <c r="G24" s="79">
        <v>971.83</v>
      </c>
      <c r="H24" s="79">
        <f t="shared" si="2"/>
        <v>45.20139534883721</v>
      </c>
    </row>
    <row r="25" spans="2:8" ht="18" customHeight="1" x14ac:dyDescent="0.25">
      <c r="B25" s="164">
        <v>3234</v>
      </c>
      <c r="C25" s="165"/>
      <c r="D25" s="166"/>
      <c r="E25" s="47" t="s">
        <v>97</v>
      </c>
      <c r="F25" s="73">
        <v>7620</v>
      </c>
      <c r="G25" s="79">
        <v>4816.53</v>
      </c>
      <c r="H25" s="79">
        <f t="shared" si="2"/>
        <v>63.209055118110236</v>
      </c>
    </row>
    <row r="26" spans="2:8" ht="18" customHeight="1" x14ac:dyDescent="0.25">
      <c r="B26" s="164">
        <v>3236</v>
      </c>
      <c r="C26" s="165"/>
      <c r="D26" s="166"/>
      <c r="E26" s="47" t="s">
        <v>98</v>
      </c>
      <c r="F26" s="73">
        <v>200</v>
      </c>
      <c r="G26" s="79">
        <v>333.86</v>
      </c>
      <c r="H26" s="79">
        <f t="shared" si="2"/>
        <v>166.93</v>
      </c>
    </row>
    <row r="27" spans="2:8" s="56" customFormat="1" ht="40.15" customHeight="1" x14ac:dyDescent="0.25">
      <c r="B27" s="167" t="s">
        <v>146</v>
      </c>
      <c r="C27" s="168"/>
      <c r="D27" s="169"/>
      <c r="E27" s="55" t="s">
        <v>147</v>
      </c>
      <c r="F27" s="72">
        <f>F28</f>
        <v>151500</v>
      </c>
      <c r="G27" s="77">
        <f>G28+G77</f>
        <v>19677.349999999999</v>
      </c>
      <c r="H27" s="77">
        <f>G27/F27*100</f>
        <v>12.988349834983499</v>
      </c>
    </row>
    <row r="28" spans="2:8" s="56" customFormat="1" ht="30" customHeight="1" x14ac:dyDescent="0.25">
      <c r="B28" s="170" t="s">
        <v>148</v>
      </c>
      <c r="C28" s="170"/>
      <c r="D28" s="170"/>
      <c r="E28" s="54" t="s">
        <v>149</v>
      </c>
      <c r="F28" s="72">
        <f>F29+F34+F61</f>
        <v>151500</v>
      </c>
      <c r="G28" s="77">
        <f>G29+G34+G61+G74</f>
        <v>19095.669999999998</v>
      </c>
      <c r="H28" s="77">
        <f>G28/F28*100</f>
        <v>12.604402640264025</v>
      </c>
    </row>
    <row r="29" spans="2:8" s="56" customFormat="1" ht="18" customHeight="1" x14ac:dyDescent="0.25">
      <c r="B29" s="167">
        <v>31</v>
      </c>
      <c r="C29" s="168"/>
      <c r="D29" s="169"/>
      <c r="E29" s="54" t="s">
        <v>140</v>
      </c>
      <c r="F29" s="72">
        <f>F30</f>
        <v>4500</v>
      </c>
      <c r="G29" s="89">
        <f>G30</f>
        <v>1127.47</v>
      </c>
      <c r="H29" s="77">
        <f>G29/F29*100</f>
        <v>25.054888888888886</v>
      </c>
    </row>
    <row r="30" spans="2:8" ht="18" customHeight="1" x14ac:dyDescent="0.25">
      <c r="B30" s="160">
        <v>32</v>
      </c>
      <c r="C30" s="161"/>
      <c r="D30" s="162"/>
      <c r="E30" s="54" t="s">
        <v>13</v>
      </c>
      <c r="F30" s="72">
        <f>SUM(F31:F33)</f>
        <v>4500</v>
      </c>
      <c r="G30" s="89">
        <f>SUM(G31:G33)</f>
        <v>1127.47</v>
      </c>
      <c r="H30" s="77">
        <f>G30/F30*100</f>
        <v>25.054888888888886</v>
      </c>
    </row>
    <row r="31" spans="2:8" ht="18" customHeight="1" x14ac:dyDescent="0.25">
      <c r="B31" s="163">
        <v>3222</v>
      </c>
      <c r="C31" s="163"/>
      <c r="D31" s="163"/>
      <c r="E31" s="47" t="s">
        <v>89</v>
      </c>
      <c r="F31" s="73">
        <v>1590</v>
      </c>
      <c r="G31" s="79">
        <v>1000</v>
      </c>
      <c r="H31" s="79">
        <f t="shared" ref="H31:H33" si="3">G31/F31*100</f>
        <v>62.893081761006286</v>
      </c>
    </row>
    <row r="32" spans="2:8" ht="18" customHeight="1" x14ac:dyDescent="0.25">
      <c r="B32" s="163">
        <v>3225</v>
      </c>
      <c r="C32" s="163"/>
      <c r="D32" s="163"/>
      <c r="E32" s="47" t="s">
        <v>92</v>
      </c>
      <c r="F32" s="73">
        <v>1990</v>
      </c>
      <c r="G32" s="79">
        <v>127.47</v>
      </c>
      <c r="H32" s="79">
        <f t="shared" si="3"/>
        <v>6.4055276381909554</v>
      </c>
    </row>
    <row r="33" spans="2:8" ht="18" customHeight="1" x14ac:dyDescent="0.25">
      <c r="B33" s="163">
        <v>3293</v>
      </c>
      <c r="C33" s="163"/>
      <c r="D33" s="163"/>
      <c r="E33" s="47" t="s">
        <v>102</v>
      </c>
      <c r="F33" s="73">
        <v>920</v>
      </c>
      <c r="G33" s="79"/>
      <c r="H33" s="79">
        <f t="shared" si="3"/>
        <v>0</v>
      </c>
    </row>
    <row r="34" spans="2:8" s="56" customFormat="1" ht="18" customHeight="1" x14ac:dyDescent="0.25">
      <c r="B34" s="167">
        <v>43</v>
      </c>
      <c r="C34" s="168"/>
      <c r="D34" s="169"/>
      <c r="E34" s="54" t="s">
        <v>150</v>
      </c>
      <c r="F34" s="72">
        <f>F35+F58+F56</f>
        <v>97000</v>
      </c>
      <c r="G34" s="77">
        <f>G35+G58+G56</f>
        <v>7068.2000000000007</v>
      </c>
      <c r="H34" s="77">
        <f>G34/F34*100</f>
        <v>7.2868041237113408</v>
      </c>
    </row>
    <row r="35" spans="2:8" ht="18" customHeight="1" x14ac:dyDescent="0.25">
      <c r="B35" s="160">
        <v>32</v>
      </c>
      <c r="C35" s="161"/>
      <c r="D35" s="162"/>
      <c r="E35" s="54" t="s">
        <v>13</v>
      </c>
      <c r="F35" s="72">
        <f>SUM(F36:F55)</f>
        <v>91290</v>
      </c>
      <c r="G35" s="77">
        <f>SUM(G36:G55)</f>
        <v>6668.6900000000005</v>
      </c>
      <c r="H35" s="77">
        <f>G35/F35*100</f>
        <v>7.304951254244715</v>
      </c>
    </row>
    <row r="36" spans="2:8" ht="18" customHeight="1" x14ac:dyDescent="0.25">
      <c r="B36" s="163">
        <v>3211</v>
      </c>
      <c r="C36" s="163"/>
      <c r="D36" s="163"/>
      <c r="E36" s="47" t="s">
        <v>44</v>
      </c>
      <c r="F36" s="73">
        <v>3990</v>
      </c>
      <c r="G36" s="90">
        <v>1553.19</v>
      </c>
      <c r="H36" s="79">
        <f t="shared" ref="H36:H59" si="4">G36/F36*100</f>
        <v>38.927067669172935</v>
      </c>
    </row>
    <row r="37" spans="2:8" ht="18" customHeight="1" x14ac:dyDescent="0.25">
      <c r="B37" s="163">
        <v>3213</v>
      </c>
      <c r="C37" s="163"/>
      <c r="D37" s="163"/>
      <c r="E37" s="47" t="s">
        <v>87</v>
      </c>
      <c r="F37" s="73">
        <v>2660</v>
      </c>
      <c r="G37" s="90">
        <v>320</v>
      </c>
      <c r="H37" s="79">
        <f t="shared" si="4"/>
        <v>12.030075187969924</v>
      </c>
    </row>
    <row r="38" spans="2:8" ht="18" customHeight="1" x14ac:dyDescent="0.25">
      <c r="B38" s="163">
        <v>3221</v>
      </c>
      <c r="C38" s="163"/>
      <c r="D38" s="163"/>
      <c r="E38" s="47" t="s">
        <v>88</v>
      </c>
      <c r="F38" s="73">
        <f>3330+6650-2000</f>
        <v>7980</v>
      </c>
      <c r="G38" s="90">
        <f>230.66+517.12-500</f>
        <v>247.77999999999997</v>
      </c>
      <c r="H38" s="79">
        <f t="shared" si="4"/>
        <v>3.1050125313283208</v>
      </c>
    </row>
    <row r="39" spans="2:8" ht="18" customHeight="1" x14ac:dyDescent="0.25">
      <c r="B39" s="163">
        <v>3222</v>
      </c>
      <c r="C39" s="163"/>
      <c r="D39" s="163"/>
      <c r="E39" s="47" t="s">
        <v>89</v>
      </c>
      <c r="F39" s="73">
        <f>44730-20000</f>
        <v>24730</v>
      </c>
      <c r="G39" s="90">
        <f>5634.34-5000</f>
        <v>634.34000000000015</v>
      </c>
      <c r="H39" s="79">
        <f t="shared" si="4"/>
        <v>2.5650626769106353</v>
      </c>
    </row>
    <row r="40" spans="2:8" ht="18" customHeight="1" x14ac:dyDescent="0.25">
      <c r="B40" s="163">
        <v>3223</v>
      </c>
      <c r="C40" s="163"/>
      <c r="D40" s="163"/>
      <c r="E40" s="47" t="s">
        <v>90</v>
      </c>
      <c r="F40" s="73">
        <f>5276+35894+3990-20000</f>
        <v>25160</v>
      </c>
      <c r="G40" s="90">
        <v>423.39</v>
      </c>
      <c r="H40" s="79">
        <f t="shared" si="4"/>
        <v>1.6827901430842607</v>
      </c>
    </row>
    <row r="41" spans="2:8" ht="30" customHeight="1" x14ac:dyDescent="0.25">
      <c r="B41" s="164">
        <v>3224</v>
      </c>
      <c r="C41" s="165"/>
      <c r="D41" s="166"/>
      <c r="E41" s="47" t="s">
        <v>91</v>
      </c>
      <c r="F41" s="73">
        <v>3990</v>
      </c>
      <c r="G41" s="90">
        <v>186.7</v>
      </c>
      <c r="H41" s="79">
        <f t="shared" si="4"/>
        <v>4.6791979949874687</v>
      </c>
    </row>
    <row r="42" spans="2:8" ht="18" customHeight="1" x14ac:dyDescent="0.25">
      <c r="B42" s="164">
        <v>3225</v>
      </c>
      <c r="C42" s="165"/>
      <c r="D42" s="166"/>
      <c r="E42" s="47" t="s">
        <v>92</v>
      </c>
      <c r="F42" s="73">
        <f>660</f>
        <v>660</v>
      </c>
      <c r="G42" s="90">
        <v>113.48</v>
      </c>
      <c r="H42" s="79">
        <f t="shared" si="4"/>
        <v>17.193939393939395</v>
      </c>
    </row>
    <row r="43" spans="2:8" ht="18" customHeight="1" x14ac:dyDescent="0.25">
      <c r="B43" s="164">
        <v>3227</v>
      </c>
      <c r="C43" s="165"/>
      <c r="D43" s="166"/>
      <c r="E43" s="47" t="s">
        <v>93</v>
      </c>
      <c r="F43" s="73">
        <v>1990</v>
      </c>
      <c r="G43" s="90"/>
      <c r="H43" s="79">
        <f t="shared" si="4"/>
        <v>0</v>
      </c>
    </row>
    <row r="44" spans="2:8" ht="18" customHeight="1" x14ac:dyDescent="0.25">
      <c r="B44" s="164">
        <v>3231</v>
      </c>
      <c r="C44" s="165"/>
      <c r="D44" s="166"/>
      <c r="E44" s="47" t="s">
        <v>94</v>
      </c>
      <c r="F44" s="73">
        <f>2500+1600-1000</f>
        <v>3100</v>
      </c>
      <c r="G44" s="90">
        <f>378.98+481.66-500</f>
        <v>360.6400000000001</v>
      </c>
      <c r="H44" s="79">
        <f t="shared" si="4"/>
        <v>11.633548387096777</v>
      </c>
    </row>
    <row r="45" spans="2:8" ht="18" customHeight="1" x14ac:dyDescent="0.25">
      <c r="B45" s="164">
        <v>3232</v>
      </c>
      <c r="C45" s="165"/>
      <c r="D45" s="166"/>
      <c r="E45" s="47" t="s">
        <v>95</v>
      </c>
      <c r="F45" s="73">
        <f>5310-2000</f>
        <v>3310</v>
      </c>
      <c r="G45" s="90">
        <f>393.4-100</f>
        <v>293.39999999999998</v>
      </c>
      <c r="H45" s="79">
        <f t="shared" si="4"/>
        <v>8.8640483383685797</v>
      </c>
    </row>
    <row r="46" spans="2:8" ht="18" customHeight="1" x14ac:dyDescent="0.25">
      <c r="B46" s="164">
        <v>3233</v>
      </c>
      <c r="C46" s="165"/>
      <c r="D46" s="166"/>
      <c r="E46" s="47" t="s">
        <v>96</v>
      </c>
      <c r="F46" s="73">
        <v>390</v>
      </c>
      <c r="G46" s="90"/>
      <c r="H46" s="79">
        <f t="shared" si="4"/>
        <v>0</v>
      </c>
    </row>
    <row r="47" spans="2:8" ht="18" customHeight="1" x14ac:dyDescent="0.25">
      <c r="B47" s="164">
        <v>3234</v>
      </c>
      <c r="C47" s="165"/>
      <c r="D47" s="166"/>
      <c r="E47" s="47" t="s">
        <v>97</v>
      </c>
      <c r="F47" s="73">
        <f>2660-1000</f>
        <v>1660</v>
      </c>
      <c r="G47" s="90"/>
      <c r="H47" s="79">
        <f t="shared" si="4"/>
        <v>0</v>
      </c>
    </row>
    <row r="48" spans="2:8" ht="18" customHeight="1" x14ac:dyDescent="0.25">
      <c r="B48" s="164">
        <v>3236</v>
      </c>
      <c r="C48" s="165"/>
      <c r="D48" s="166"/>
      <c r="E48" s="47" t="s">
        <v>98</v>
      </c>
      <c r="F48" s="73">
        <f>800+800-500</f>
        <v>1100</v>
      </c>
      <c r="G48" s="90">
        <f>145.42-100</f>
        <v>45.419999999999987</v>
      </c>
      <c r="H48" s="79">
        <f t="shared" si="4"/>
        <v>4.129090909090908</v>
      </c>
    </row>
    <row r="49" spans="2:8" ht="18" customHeight="1" x14ac:dyDescent="0.25">
      <c r="B49" s="164">
        <v>3238</v>
      </c>
      <c r="C49" s="165"/>
      <c r="D49" s="166"/>
      <c r="E49" s="47" t="s">
        <v>99</v>
      </c>
      <c r="F49" s="73">
        <f>3500-1000</f>
        <v>2500</v>
      </c>
      <c r="G49" s="90">
        <f>579.1-500</f>
        <v>79.100000000000023</v>
      </c>
      <c r="H49" s="79">
        <f t="shared" si="4"/>
        <v>3.164000000000001</v>
      </c>
    </row>
    <row r="50" spans="2:8" ht="18" customHeight="1" x14ac:dyDescent="0.25">
      <c r="B50" s="164">
        <v>3239</v>
      </c>
      <c r="C50" s="165"/>
      <c r="D50" s="166"/>
      <c r="E50" s="47" t="s">
        <v>100</v>
      </c>
      <c r="F50" s="73">
        <f>3000-1000</f>
        <v>2000</v>
      </c>
      <c r="G50" s="90">
        <f>2658.99-1000</f>
        <v>1658.9899999999998</v>
      </c>
      <c r="H50" s="79">
        <f t="shared" si="4"/>
        <v>82.949499999999986</v>
      </c>
    </row>
    <row r="51" spans="2:8" ht="18" customHeight="1" x14ac:dyDescent="0.25">
      <c r="B51" s="164">
        <v>3292</v>
      </c>
      <c r="C51" s="165"/>
      <c r="D51" s="166"/>
      <c r="E51" s="47" t="s">
        <v>101</v>
      </c>
      <c r="F51" s="73">
        <f>3990-1000</f>
        <v>2990</v>
      </c>
      <c r="G51" s="90">
        <f>1520.32-1000</f>
        <v>520.31999999999994</v>
      </c>
      <c r="H51" s="79">
        <f t="shared" si="4"/>
        <v>17.402006688963208</v>
      </c>
    </row>
    <row r="52" spans="2:8" ht="18" customHeight="1" x14ac:dyDescent="0.25">
      <c r="B52" s="164">
        <v>3293</v>
      </c>
      <c r="C52" s="165"/>
      <c r="D52" s="166"/>
      <c r="E52" s="47" t="s">
        <v>102</v>
      </c>
      <c r="F52" s="73">
        <f>1500</f>
        <v>1500</v>
      </c>
      <c r="G52" s="90">
        <v>17.89</v>
      </c>
      <c r="H52" s="79">
        <f t="shared" si="4"/>
        <v>1.1926666666666668</v>
      </c>
    </row>
    <row r="53" spans="2:8" ht="18" customHeight="1" x14ac:dyDescent="0.25">
      <c r="B53" s="164">
        <v>3294</v>
      </c>
      <c r="C53" s="165"/>
      <c r="D53" s="166"/>
      <c r="E53" s="47" t="s">
        <v>196</v>
      </c>
      <c r="F53" s="73">
        <v>130</v>
      </c>
      <c r="G53" s="90">
        <v>50</v>
      </c>
      <c r="H53" s="79">
        <f t="shared" si="4"/>
        <v>38.461538461538467</v>
      </c>
    </row>
    <row r="54" spans="2:8" ht="18" customHeight="1" x14ac:dyDescent="0.25">
      <c r="B54" s="164">
        <v>3295</v>
      </c>
      <c r="C54" s="165"/>
      <c r="D54" s="166"/>
      <c r="E54" s="47" t="s">
        <v>103</v>
      </c>
      <c r="F54" s="73">
        <v>400</v>
      </c>
      <c r="G54" s="90">
        <v>119.46</v>
      </c>
      <c r="H54" s="79">
        <f t="shared" si="4"/>
        <v>29.864999999999998</v>
      </c>
    </row>
    <row r="55" spans="2:8" ht="18" customHeight="1" x14ac:dyDescent="0.25">
      <c r="B55" s="164">
        <v>3299</v>
      </c>
      <c r="C55" s="165"/>
      <c r="D55" s="166"/>
      <c r="E55" s="47" t="s">
        <v>104</v>
      </c>
      <c r="F55" s="73">
        <f>1550-500</f>
        <v>1050</v>
      </c>
      <c r="G55" s="90">
        <f>144.59-100</f>
        <v>44.59</v>
      </c>
      <c r="H55" s="79">
        <f t="shared" si="4"/>
        <v>4.246666666666667</v>
      </c>
    </row>
    <row r="56" spans="2:8" ht="18" customHeight="1" x14ac:dyDescent="0.25">
      <c r="B56" s="160">
        <v>34</v>
      </c>
      <c r="C56" s="161"/>
      <c r="D56" s="162"/>
      <c r="E56" s="67" t="s">
        <v>107</v>
      </c>
      <c r="F56" s="72">
        <f>F57</f>
        <v>1700</v>
      </c>
      <c r="G56" s="77">
        <f>G57</f>
        <v>313.64</v>
      </c>
      <c r="H56" s="77">
        <f>G56/F56*100</f>
        <v>18.449411764705882</v>
      </c>
    </row>
    <row r="57" spans="2:8" ht="18" customHeight="1" x14ac:dyDescent="0.25">
      <c r="B57" s="164">
        <v>3431</v>
      </c>
      <c r="C57" s="165"/>
      <c r="D57" s="166"/>
      <c r="E57" s="47" t="s">
        <v>109</v>
      </c>
      <c r="F57" s="73">
        <v>1700</v>
      </c>
      <c r="G57" s="90">
        <v>313.64</v>
      </c>
      <c r="H57" s="79">
        <f t="shared" si="4"/>
        <v>18.449411764705882</v>
      </c>
    </row>
    <row r="58" spans="2:8" ht="30" customHeight="1" x14ac:dyDescent="0.25">
      <c r="B58" s="160">
        <v>42</v>
      </c>
      <c r="C58" s="161"/>
      <c r="D58" s="162"/>
      <c r="E58" s="54" t="s">
        <v>110</v>
      </c>
      <c r="F58" s="72">
        <f>SUM(F59:F60)</f>
        <v>4010</v>
      </c>
      <c r="G58" s="92">
        <f>SUM(G59:G60)</f>
        <v>85.87</v>
      </c>
      <c r="H58" s="77">
        <f t="shared" si="4"/>
        <v>2.1413965087281794</v>
      </c>
    </row>
    <row r="59" spans="2:8" ht="18" customHeight="1" x14ac:dyDescent="0.25">
      <c r="B59" s="164">
        <v>4227</v>
      </c>
      <c r="C59" s="165"/>
      <c r="D59" s="166"/>
      <c r="E59" s="47" t="s">
        <v>112</v>
      </c>
      <c r="F59" s="73">
        <v>4010</v>
      </c>
      <c r="G59" s="90">
        <v>85.87</v>
      </c>
      <c r="H59" s="79">
        <f t="shared" si="4"/>
        <v>2.1413965087281794</v>
      </c>
    </row>
    <row r="60" spans="2:8" ht="18" customHeight="1" x14ac:dyDescent="0.25">
      <c r="B60" s="164">
        <v>4262</v>
      </c>
      <c r="C60" s="165"/>
      <c r="D60" s="166"/>
      <c r="E60" s="47" t="s">
        <v>114</v>
      </c>
      <c r="F60" s="73">
        <v>0</v>
      </c>
      <c r="G60" s="90">
        <v>0</v>
      </c>
      <c r="H60" s="79" t="s">
        <v>116</v>
      </c>
    </row>
    <row r="61" spans="2:8" s="56" customFormat="1" ht="18" customHeight="1" x14ac:dyDescent="0.25">
      <c r="B61" s="167">
        <v>94</v>
      </c>
      <c r="C61" s="168"/>
      <c r="D61" s="169"/>
      <c r="E61" s="67" t="s">
        <v>223</v>
      </c>
      <c r="F61" s="72">
        <f>F62</f>
        <v>50000</v>
      </c>
      <c r="G61" s="77">
        <f>G62</f>
        <v>8800</v>
      </c>
      <c r="H61" s="77">
        <f>G61/F61*100</f>
        <v>17.599999999999998</v>
      </c>
    </row>
    <row r="62" spans="2:8" ht="18" customHeight="1" x14ac:dyDescent="0.25">
      <c r="B62" s="160">
        <v>32</v>
      </c>
      <c r="C62" s="161"/>
      <c r="D62" s="162"/>
      <c r="E62" s="67" t="s">
        <v>13</v>
      </c>
      <c r="F62" s="72">
        <f>SUM(F63:F73)</f>
        <v>50000</v>
      </c>
      <c r="G62" s="77">
        <f>SUM(G63:G73)</f>
        <v>8800</v>
      </c>
      <c r="H62" s="77">
        <f>G62/F62*100</f>
        <v>17.599999999999998</v>
      </c>
    </row>
    <row r="63" spans="2:8" ht="18" customHeight="1" x14ac:dyDescent="0.25">
      <c r="B63" s="163">
        <v>3221</v>
      </c>
      <c r="C63" s="163"/>
      <c r="D63" s="163"/>
      <c r="E63" s="47" t="s">
        <v>88</v>
      </c>
      <c r="F63" s="73">
        <v>2000</v>
      </c>
      <c r="G63" s="90">
        <v>500</v>
      </c>
      <c r="H63" s="79">
        <f t="shared" ref="H63:H73" si="5">G63/F63*100</f>
        <v>25</v>
      </c>
    </row>
    <row r="64" spans="2:8" ht="18" customHeight="1" x14ac:dyDescent="0.25">
      <c r="B64" s="163">
        <v>3222</v>
      </c>
      <c r="C64" s="163"/>
      <c r="D64" s="163"/>
      <c r="E64" s="47" t="s">
        <v>89</v>
      </c>
      <c r="F64" s="73">
        <v>20000</v>
      </c>
      <c r="G64" s="90">
        <v>5000</v>
      </c>
      <c r="H64" s="79">
        <f t="shared" si="5"/>
        <v>25</v>
      </c>
    </row>
    <row r="65" spans="2:8" ht="18" customHeight="1" x14ac:dyDescent="0.25">
      <c r="B65" s="163">
        <v>3223</v>
      </c>
      <c r="C65" s="163"/>
      <c r="D65" s="163"/>
      <c r="E65" s="47" t="s">
        <v>90</v>
      </c>
      <c r="F65" s="73">
        <v>20000</v>
      </c>
      <c r="G65" s="90"/>
      <c r="H65" s="79">
        <f t="shared" si="5"/>
        <v>0</v>
      </c>
    </row>
    <row r="66" spans="2:8" ht="18" customHeight="1" x14ac:dyDescent="0.25">
      <c r="B66" s="164">
        <v>3231</v>
      </c>
      <c r="C66" s="165"/>
      <c r="D66" s="166"/>
      <c r="E66" s="47" t="s">
        <v>94</v>
      </c>
      <c r="F66" s="73">
        <v>1000</v>
      </c>
      <c r="G66" s="90">
        <v>500</v>
      </c>
      <c r="H66" s="79">
        <f t="shared" si="5"/>
        <v>50</v>
      </c>
    </row>
    <row r="67" spans="2:8" ht="18" customHeight="1" x14ac:dyDescent="0.25">
      <c r="B67" s="164">
        <v>3232</v>
      </c>
      <c r="C67" s="165"/>
      <c r="D67" s="166"/>
      <c r="E67" s="47" t="s">
        <v>95</v>
      </c>
      <c r="F67" s="73">
        <v>2000</v>
      </c>
      <c r="G67" s="90">
        <v>100</v>
      </c>
      <c r="H67" s="79">
        <f t="shared" si="5"/>
        <v>5</v>
      </c>
    </row>
    <row r="68" spans="2:8" ht="18" customHeight="1" x14ac:dyDescent="0.25">
      <c r="B68" s="164">
        <v>3234</v>
      </c>
      <c r="C68" s="165"/>
      <c r="D68" s="166"/>
      <c r="E68" s="47" t="s">
        <v>97</v>
      </c>
      <c r="F68" s="73">
        <v>1000</v>
      </c>
      <c r="G68" s="90"/>
      <c r="H68" s="79">
        <f t="shared" si="5"/>
        <v>0</v>
      </c>
    </row>
    <row r="69" spans="2:8" ht="18" customHeight="1" x14ac:dyDescent="0.25">
      <c r="B69" s="164">
        <v>3236</v>
      </c>
      <c r="C69" s="165"/>
      <c r="D69" s="166"/>
      <c r="E69" s="47" t="s">
        <v>98</v>
      </c>
      <c r="F69" s="73">
        <v>500</v>
      </c>
      <c r="G69" s="90">
        <v>100</v>
      </c>
      <c r="H69" s="79">
        <f t="shared" si="5"/>
        <v>20</v>
      </c>
    </row>
    <row r="70" spans="2:8" ht="18" customHeight="1" x14ac:dyDescent="0.25">
      <c r="B70" s="164">
        <v>3238</v>
      </c>
      <c r="C70" s="165"/>
      <c r="D70" s="166"/>
      <c r="E70" s="47" t="s">
        <v>99</v>
      </c>
      <c r="F70" s="73">
        <v>1000</v>
      </c>
      <c r="G70" s="90">
        <v>500</v>
      </c>
      <c r="H70" s="79">
        <f t="shared" si="5"/>
        <v>50</v>
      </c>
    </row>
    <row r="71" spans="2:8" ht="18" customHeight="1" x14ac:dyDescent="0.25">
      <c r="B71" s="164">
        <v>3239</v>
      </c>
      <c r="C71" s="165"/>
      <c r="D71" s="166"/>
      <c r="E71" s="47" t="s">
        <v>100</v>
      </c>
      <c r="F71" s="73">
        <v>1000</v>
      </c>
      <c r="G71" s="90">
        <v>1000</v>
      </c>
      <c r="H71" s="79">
        <f t="shared" si="5"/>
        <v>100</v>
      </c>
    </row>
    <row r="72" spans="2:8" ht="18" customHeight="1" x14ac:dyDescent="0.25">
      <c r="B72" s="164">
        <v>3292</v>
      </c>
      <c r="C72" s="165"/>
      <c r="D72" s="166"/>
      <c r="E72" s="47" t="s">
        <v>101</v>
      </c>
      <c r="F72" s="73">
        <v>1000</v>
      </c>
      <c r="G72" s="90">
        <v>1000</v>
      </c>
      <c r="H72" s="79">
        <f t="shared" si="5"/>
        <v>100</v>
      </c>
    </row>
    <row r="73" spans="2:8" ht="18" customHeight="1" x14ac:dyDescent="0.25">
      <c r="B73" s="164">
        <v>3299</v>
      </c>
      <c r="C73" s="165"/>
      <c r="D73" s="166"/>
      <c r="E73" s="47" t="s">
        <v>104</v>
      </c>
      <c r="F73" s="73">
        <v>500</v>
      </c>
      <c r="G73" s="90">
        <v>100</v>
      </c>
      <c r="H73" s="79">
        <f t="shared" si="5"/>
        <v>20</v>
      </c>
    </row>
    <row r="74" spans="2:8" s="56" customFormat="1" ht="18" customHeight="1" x14ac:dyDescent="0.25">
      <c r="B74" s="167">
        <v>95</v>
      </c>
      <c r="C74" s="168"/>
      <c r="D74" s="169"/>
      <c r="E74" s="112" t="s">
        <v>226</v>
      </c>
      <c r="F74" s="63">
        <f>F75</f>
        <v>0</v>
      </c>
      <c r="G74" s="92">
        <f>G75</f>
        <v>2100</v>
      </c>
      <c r="H74" s="77" t="s">
        <v>116</v>
      </c>
    </row>
    <row r="75" spans="2:8" ht="30" customHeight="1" x14ac:dyDescent="0.25">
      <c r="B75" s="160">
        <v>42</v>
      </c>
      <c r="C75" s="161"/>
      <c r="D75" s="162"/>
      <c r="E75" s="112" t="s">
        <v>110</v>
      </c>
      <c r="F75" s="63">
        <f>F76</f>
        <v>0</v>
      </c>
      <c r="G75" s="92">
        <f>G76</f>
        <v>2100</v>
      </c>
      <c r="H75" s="77" t="s">
        <v>116</v>
      </c>
    </row>
    <row r="76" spans="2:8" ht="18" customHeight="1" x14ac:dyDescent="0.25">
      <c r="B76" s="164">
        <v>4227</v>
      </c>
      <c r="C76" s="165"/>
      <c r="D76" s="166"/>
      <c r="E76" s="47" t="s">
        <v>112</v>
      </c>
      <c r="F76" s="62">
        <v>0</v>
      </c>
      <c r="G76" s="90">
        <v>2100</v>
      </c>
      <c r="H76" s="79" t="s">
        <v>116</v>
      </c>
    </row>
    <row r="77" spans="2:8" s="56" customFormat="1" ht="43.9" customHeight="1" x14ac:dyDescent="0.25">
      <c r="B77" s="170" t="s">
        <v>239</v>
      </c>
      <c r="C77" s="170"/>
      <c r="D77" s="170"/>
      <c r="E77" s="112" t="s">
        <v>170</v>
      </c>
      <c r="F77" s="63">
        <f t="shared" ref="F77:G79" si="6">F78</f>
        <v>0</v>
      </c>
      <c r="G77" s="107">
        <f t="shared" si="6"/>
        <v>581.67999999999995</v>
      </c>
      <c r="H77" s="77" t="s">
        <v>116</v>
      </c>
    </row>
    <row r="78" spans="2:8" s="56" customFormat="1" ht="18" customHeight="1" x14ac:dyDescent="0.25">
      <c r="B78" s="167">
        <v>57</v>
      </c>
      <c r="C78" s="168"/>
      <c r="D78" s="169"/>
      <c r="E78" s="112" t="s">
        <v>165</v>
      </c>
      <c r="F78" s="63">
        <f t="shared" si="6"/>
        <v>0</v>
      </c>
      <c r="G78" s="92">
        <f t="shared" si="6"/>
        <v>581.67999999999995</v>
      </c>
      <c r="H78" s="77" t="s">
        <v>116</v>
      </c>
    </row>
    <row r="79" spans="2:8" ht="18" customHeight="1" x14ac:dyDescent="0.25">
      <c r="B79" s="160">
        <v>32</v>
      </c>
      <c r="C79" s="161"/>
      <c r="D79" s="162"/>
      <c r="E79" s="112" t="s">
        <v>13</v>
      </c>
      <c r="F79" s="63">
        <f t="shared" si="6"/>
        <v>0</v>
      </c>
      <c r="G79" s="92">
        <f t="shared" si="6"/>
        <v>581.67999999999995</v>
      </c>
      <c r="H79" s="77" t="s">
        <v>116</v>
      </c>
    </row>
    <row r="80" spans="2:8" ht="18" customHeight="1" x14ac:dyDescent="0.25">
      <c r="B80" s="163">
        <v>3222</v>
      </c>
      <c r="C80" s="163"/>
      <c r="D80" s="163"/>
      <c r="E80" s="47" t="s">
        <v>89</v>
      </c>
      <c r="F80" s="62">
        <v>0</v>
      </c>
      <c r="G80" s="90">
        <v>581.67999999999995</v>
      </c>
      <c r="H80" s="79" t="s">
        <v>116</v>
      </c>
    </row>
    <row r="81" spans="2:8" x14ac:dyDescent="0.25">
      <c r="B81" s="46"/>
      <c r="C81" s="46"/>
      <c r="D81" s="46"/>
      <c r="E81" s="46"/>
      <c r="F81" s="46"/>
      <c r="G81" s="46"/>
      <c r="H81" s="46"/>
    </row>
  </sheetData>
  <mergeCells count="77">
    <mergeCell ref="B77:D77"/>
    <mergeCell ref="B78:D78"/>
    <mergeCell ref="B79:D79"/>
    <mergeCell ref="B80:D80"/>
    <mergeCell ref="B74:D74"/>
    <mergeCell ref="B75:D75"/>
    <mergeCell ref="B76:D76"/>
    <mergeCell ref="B9:E9"/>
    <mergeCell ref="B22:D22"/>
    <mergeCell ref="B10:D10"/>
    <mergeCell ref="B11:D11"/>
    <mergeCell ref="B12:D12"/>
    <mergeCell ref="B13:D13"/>
    <mergeCell ref="B15:D15"/>
    <mergeCell ref="B16:D16"/>
    <mergeCell ref="B17:D17"/>
    <mergeCell ref="B18:D18"/>
    <mergeCell ref="B19:D19"/>
    <mergeCell ref="B21:D21"/>
    <mergeCell ref="B14:D14"/>
    <mergeCell ref="B2:H2"/>
    <mergeCell ref="B4:H4"/>
    <mergeCell ref="B6:E6"/>
    <mergeCell ref="B7:E7"/>
    <mergeCell ref="B8:D8"/>
    <mergeCell ref="B23:D23"/>
    <mergeCell ref="B24:D24"/>
    <mergeCell ref="B25:D25"/>
    <mergeCell ref="B26:D26"/>
    <mergeCell ref="B20:D20"/>
    <mergeCell ref="B31:D31"/>
    <mergeCell ref="B33:D33"/>
    <mergeCell ref="B27:D27"/>
    <mergeCell ref="B28:D28"/>
    <mergeCell ref="B29:D29"/>
    <mergeCell ref="B30:D30"/>
    <mergeCell ref="B39:D39"/>
    <mergeCell ref="B40:D40"/>
    <mergeCell ref="B32:D32"/>
    <mergeCell ref="B34:D34"/>
    <mergeCell ref="B35:D35"/>
    <mergeCell ref="B38:D38"/>
    <mergeCell ref="B36:D36"/>
    <mergeCell ref="B37:D37"/>
    <mergeCell ref="B41:D41"/>
    <mergeCell ref="B44:D44"/>
    <mergeCell ref="B45:D45"/>
    <mergeCell ref="B47:D47"/>
    <mergeCell ref="B48:D48"/>
    <mergeCell ref="B42:D42"/>
    <mergeCell ref="B43:D43"/>
    <mergeCell ref="B46:D46"/>
    <mergeCell ref="B49:D49"/>
    <mergeCell ref="B50:D50"/>
    <mergeCell ref="B51:D51"/>
    <mergeCell ref="B52:D52"/>
    <mergeCell ref="B53:D53"/>
    <mergeCell ref="B54:D54"/>
    <mergeCell ref="B55:D55"/>
    <mergeCell ref="B57:D57"/>
    <mergeCell ref="B59:D59"/>
    <mergeCell ref="B60:D60"/>
    <mergeCell ref="B58:D58"/>
    <mergeCell ref="B56:D56"/>
    <mergeCell ref="B61:D61"/>
    <mergeCell ref="B62:D62"/>
    <mergeCell ref="B63:D63"/>
    <mergeCell ref="B64:D64"/>
    <mergeCell ref="B65:D65"/>
    <mergeCell ref="B72:D72"/>
    <mergeCell ref="B69:D69"/>
    <mergeCell ref="B73:D73"/>
    <mergeCell ref="B67:D67"/>
    <mergeCell ref="B66:D66"/>
    <mergeCell ref="B68:D68"/>
    <mergeCell ref="B70:D70"/>
    <mergeCell ref="B71:D71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opLeftCell="A57" zoomScale="98" zoomScaleNormal="98" workbookViewId="0">
      <selection activeCell="I31" sqref="I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6.5703125" customWidth="1"/>
    <col min="7" max="9" width="25.28515625" customWidth="1"/>
    <col min="10" max="11" width="15.7109375" customWidth="1"/>
  </cols>
  <sheetData>
    <row r="1" spans="1:11" ht="18" x14ac:dyDescent="0.25">
      <c r="B1" s="158" t="s">
        <v>76</v>
      </c>
      <c r="C1" s="158"/>
      <c r="D1" s="158"/>
      <c r="E1" s="158"/>
      <c r="F1" s="158"/>
      <c r="G1" s="3"/>
      <c r="H1" s="3"/>
      <c r="I1" s="3"/>
      <c r="J1" s="3"/>
      <c r="K1" s="3"/>
    </row>
    <row r="2" spans="1:11" ht="15.75" customHeight="1" x14ac:dyDescent="0.25">
      <c r="B2" s="120" t="s">
        <v>12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1" ht="18" x14ac:dyDescent="0.25">
      <c r="B3" s="3"/>
      <c r="C3" s="3"/>
      <c r="D3" s="3"/>
      <c r="E3" s="3"/>
      <c r="F3" s="3"/>
      <c r="G3" s="3"/>
      <c r="H3" s="3"/>
      <c r="I3" s="4"/>
      <c r="J3" s="4"/>
      <c r="K3" s="4"/>
    </row>
    <row r="4" spans="1:11" ht="15.75" customHeight="1" x14ac:dyDescent="0.25">
      <c r="B4" s="120" t="s">
        <v>66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8" x14ac:dyDescent="0.25"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15.75" customHeight="1" x14ac:dyDescent="0.25">
      <c r="B6" s="120" t="s">
        <v>47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1:11" ht="18" x14ac:dyDescent="0.25">
      <c r="B7" s="3"/>
      <c r="C7" s="3"/>
      <c r="D7" s="3"/>
      <c r="E7" s="3"/>
      <c r="F7" s="3"/>
      <c r="G7" s="3"/>
      <c r="H7" s="3"/>
      <c r="I7" s="4"/>
      <c r="J7" s="4"/>
      <c r="K7" s="4"/>
    </row>
    <row r="8" spans="1:11" ht="45" customHeight="1" x14ac:dyDescent="0.25">
      <c r="B8" s="152" t="s">
        <v>8</v>
      </c>
      <c r="C8" s="153"/>
      <c r="D8" s="153"/>
      <c r="E8" s="153"/>
      <c r="F8" s="154"/>
      <c r="G8" s="39" t="s">
        <v>233</v>
      </c>
      <c r="H8" s="39" t="s">
        <v>231</v>
      </c>
      <c r="I8" s="39" t="s">
        <v>234</v>
      </c>
      <c r="J8" s="39" t="s">
        <v>30</v>
      </c>
      <c r="K8" s="39" t="s">
        <v>62</v>
      </c>
    </row>
    <row r="9" spans="1:11" x14ac:dyDescent="0.25">
      <c r="B9" s="155">
        <v>1</v>
      </c>
      <c r="C9" s="156"/>
      <c r="D9" s="156"/>
      <c r="E9" s="156"/>
      <c r="F9" s="157"/>
      <c r="G9" s="42">
        <v>2</v>
      </c>
      <c r="H9" s="42">
        <v>3</v>
      </c>
      <c r="I9" s="42">
        <v>4</v>
      </c>
      <c r="J9" s="42" t="s">
        <v>124</v>
      </c>
      <c r="K9" s="42" t="s">
        <v>176</v>
      </c>
    </row>
    <row r="10" spans="1:11" s="56" customFormat="1" x14ac:dyDescent="0.25">
      <c r="B10" s="10"/>
      <c r="C10" s="10"/>
      <c r="D10" s="10"/>
      <c r="E10" s="10"/>
      <c r="F10" s="10" t="s">
        <v>60</v>
      </c>
      <c r="G10" s="77">
        <f>G11+G42</f>
        <v>1566679.1900000004</v>
      </c>
      <c r="H10" s="60">
        <f>H11+H42</f>
        <v>3512796</v>
      </c>
      <c r="I10" s="81">
        <f>I11+I42</f>
        <v>1902545.5300000003</v>
      </c>
      <c r="J10" s="81">
        <f>I10/G10*100</f>
        <v>121.43810565327033</v>
      </c>
      <c r="K10" s="81">
        <f>I10/H10*100</f>
        <v>54.160433170613956</v>
      </c>
    </row>
    <row r="11" spans="1:11" x14ac:dyDescent="0.25">
      <c r="B11" s="10">
        <v>6</v>
      </c>
      <c r="C11" s="10"/>
      <c r="D11" s="10"/>
      <c r="E11" s="10"/>
      <c r="F11" s="10" t="s">
        <v>3</v>
      </c>
      <c r="G11" s="78">
        <f>G12+G20+G27+G30+G36+G39</f>
        <v>1566437.6000000003</v>
      </c>
      <c r="H11" s="58">
        <f>H12+H20+H27+H30+H36</f>
        <v>3512696</v>
      </c>
      <c r="I11" s="78">
        <f>I12+I20+I27+I30+I36+I39</f>
        <v>1902478.1100000003</v>
      </c>
      <c r="J11" s="81">
        <f>I11/G11*100</f>
        <v>121.45253088919725</v>
      </c>
      <c r="K11" s="81">
        <f>I11/H11*100</f>
        <v>54.160055695112817</v>
      </c>
    </row>
    <row r="12" spans="1:11" ht="25.5" x14ac:dyDescent="0.25">
      <c r="B12" s="10"/>
      <c r="C12" s="14">
        <v>63</v>
      </c>
      <c r="D12" s="14"/>
      <c r="E12" s="14"/>
      <c r="F12" s="14" t="s">
        <v>135</v>
      </c>
      <c r="G12" s="79">
        <f>G15+G18</f>
        <v>1350247.42</v>
      </c>
      <c r="H12" s="8">
        <f>H13+H15+H18</f>
        <v>3206750</v>
      </c>
      <c r="I12" s="82">
        <f>I13+I15+I18</f>
        <v>1714780.37</v>
      </c>
      <c r="J12" s="81">
        <f>I12/G12*100</f>
        <v>126.99749280024545</v>
      </c>
      <c r="K12" s="81">
        <f>I12/H12*100</f>
        <v>53.47408965463476</v>
      </c>
    </row>
    <row r="13" spans="1:11" ht="30" customHeight="1" x14ac:dyDescent="0.25">
      <c r="A13" t="s">
        <v>214</v>
      </c>
      <c r="B13" s="11"/>
      <c r="C13" s="11"/>
      <c r="D13" s="11" t="s">
        <v>215</v>
      </c>
      <c r="E13" s="11"/>
      <c r="F13" s="28" t="s">
        <v>178</v>
      </c>
      <c r="G13" s="79">
        <v>0</v>
      </c>
      <c r="H13" s="8">
        <v>0</v>
      </c>
      <c r="I13" s="82">
        <f>I14</f>
        <v>0</v>
      </c>
      <c r="J13" s="83" t="s">
        <v>116</v>
      </c>
      <c r="K13" s="83" t="s">
        <v>116</v>
      </c>
    </row>
    <row r="14" spans="1:11" ht="30" customHeight="1" x14ac:dyDescent="0.25">
      <c r="B14" s="11"/>
      <c r="C14" s="11"/>
      <c r="D14" s="11"/>
      <c r="E14" s="11" t="s">
        <v>216</v>
      </c>
      <c r="F14" s="28" t="s">
        <v>217</v>
      </c>
      <c r="G14" s="79">
        <v>0</v>
      </c>
      <c r="H14" s="8">
        <v>0</v>
      </c>
      <c r="I14" s="82">
        <v>0</v>
      </c>
      <c r="J14" s="83" t="s">
        <v>116</v>
      </c>
      <c r="K14" s="83" t="s">
        <v>116</v>
      </c>
    </row>
    <row r="15" spans="1:11" ht="30" customHeight="1" x14ac:dyDescent="0.25">
      <c r="B15" s="11"/>
      <c r="C15" s="11"/>
      <c r="D15" s="11" t="s">
        <v>177</v>
      </c>
      <c r="E15" s="11"/>
      <c r="F15" s="28" t="s">
        <v>178</v>
      </c>
      <c r="G15" s="79">
        <f>G16</f>
        <v>1295514.24</v>
      </c>
      <c r="H15" s="8">
        <f>H16</f>
        <v>3157050</v>
      </c>
      <c r="I15" s="82">
        <f>I16+I17</f>
        <v>1676845.06</v>
      </c>
      <c r="J15" s="81">
        <f>I15/G15*100</f>
        <v>129.43470694694949</v>
      </c>
      <c r="K15" s="81">
        <f>I15/H15*100</f>
        <v>53.114301642355997</v>
      </c>
    </row>
    <row r="16" spans="1:11" ht="30" customHeight="1" x14ac:dyDescent="0.25">
      <c r="B16" s="11"/>
      <c r="C16" s="11"/>
      <c r="D16" s="11"/>
      <c r="E16" s="11" t="s">
        <v>179</v>
      </c>
      <c r="F16" s="28" t="s">
        <v>180</v>
      </c>
      <c r="G16" s="79">
        <v>1295514.24</v>
      </c>
      <c r="H16" s="8">
        <f>3119510+37540</f>
        <v>3157050</v>
      </c>
      <c r="I16" s="82">
        <v>1676845.06</v>
      </c>
      <c r="J16" s="81">
        <f>I16/G16*100</f>
        <v>129.43470694694949</v>
      </c>
      <c r="K16" s="81">
        <f>I16/H16*100</f>
        <v>53.114301642355997</v>
      </c>
    </row>
    <row r="17" spans="2:11" ht="30" customHeight="1" x14ac:dyDescent="0.25">
      <c r="B17" s="11"/>
      <c r="C17" s="11"/>
      <c r="D17" s="11"/>
      <c r="E17" s="11" t="s">
        <v>218</v>
      </c>
      <c r="F17" s="28" t="s">
        <v>219</v>
      </c>
      <c r="G17" s="79">
        <v>0</v>
      </c>
      <c r="H17" s="8">
        <v>0</v>
      </c>
      <c r="I17" s="82">
        <v>0</v>
      </c>
      <c r="J17" s="83" t="s">
        <v>116</v>
      </c>
      <c r="K17" s="83" t="s">
        <v>116</v>
      </c>
    </row>
    <row r="18" spans="2:11" ht="30" customHeight="1" x14ac:dyDescent="0.25">
      <c r="B18" s="11"/>
      <c r="C18" s="11"/>
      <c r="D18" s="11" t="s">
        <v>181</v>
      </c>
      <c r="E18" s="11"/>
      <c r="F18" s="28" t="s">
        <v>182</v>
      </c>
      <c r="G18" s="79">
        <f>G19</f>
        <v>54733.18</v>
      </c>
      <c r="H18" s="8">
        <f>H19</f>
        <v>49700</v>
      </c>
      <c r="I18" s="82">
        <f>I19</f>
        <v>37935.31</v>
      </c>
      <c r="J18" s="81">
        <f t="shared" ref="J18:J50" si="0">I18/G18*100</f>
        <v>69.309530343385845</v>
      </c>
      <c r="K18" s="81">
        <f>I18/H18*100</f>
        <v>76.328591549295766</v>
      </c>
    </row>
    <row r="19" spans="2:11" ht="30" customHeight="1" x14ac:dyDescent="0.25">
      <c r="B19" s="11"/>
      <c r="C19" s="11"/>
      <c r="D19" s="11"/>
      <c r="E19" s="11" t="s">
        <v>183</v>
      </c>
      <c r="F19" s="28" t="s">
        <v>184</v>
      </c>
      <c r="G19" s="79">
        <v>54733.18</v>
      </c>
      <c r="H19" s="8">
        <v>49700</v>
      </c>
      <c r="I19" s="82">
        <v>37935.31</v>
      </c>
      <c r="J19" s="81">
        <f t="shared" si="0"/>
        <v>69.309530343385845</v>
      </c>
      <c r="K19" s="81">
        <f>I19/H19*100</f>
        <v>76.328591549295766</v>
      </c>
    </row>
    <row r="20" spans="2:11" x14ac:dyDescent="0.25">
      <c r="B20" s="10"/>
      <c r="C20" s="14">
        <v>64</v>
      </c>
      <c r="D20" s="14"/>
      <c r="E20" s="14"/>
      <c r="F20" s="14" t="s">
        <v>136</v>
      </c>
      <c r="G20" s="79">
        <f>G25+G21</f>
        <v>1412.37</v>
      </c>
      <c r="H20" s="8">
        <f>H21+H25</f>
        <v>7500</v>
      </c>
      <c r="I20" s="82">
        <f>I21+I25</f>
        <v>0</v>
      </c>
      <c r="J20" s="81">
        <f t="shared" si="0"/>
        <v>0</v>
      </c>
      <c r="K20" s="81">
        <f>I20/H20*100</f>
        <v>0</v>
      </c>
    </row>
    <row r="21" spans="2:11" x14ac:dyDescent="0.25">
      <c r="B21" s="11"/>
      <c r="C21" s="11"/>
      <c r="D21" s="11" t="s">
        <v>208</v>
      </c>
      <c r="E21" s="11"/>
      <c r="F21" s="11" t="s">
        <v>209</v>
      </c>
      <c r="G21" s="79">
        <f>G22+G24</f>
        <v>0.06</v>
      </c>
      <c r="H21" s="8">
        <v>0</v>
      </c>
      <c r="I21" s="82">
        <f>I22+I23+I24</f>
        <v>0</v>
      </c>
      <c r="J21" s="81">
        <f t="shared" si="0"/>
        <v>0</v>
      </c>
      <c r="K21" s="83" t="s">
        <v>116</v>
      </c>
    </row>
    <row r="22" spans="2:11" x14ac:dyDescent="0.25">
      <c r="B22" s="11"/>
      <c r="C22" s="11"/>
      <c r="D22" s="11"/>
      <c r="E22" s="11">
        <v>6413</v>
      </c>
      <c r="F22" s="11" t="s">
        <v>210</v>
      </c>
      <c r="G22" s="79">
        <v>0.06</v>
      </c>
      <c r="H22" s="8">
        <v>0</v>
      </c>
      <c r="I22" s="82">
        <v>0</v>
      </c>
      <c r="J22" s="81">
        <f t="shared" si="0"/>
        <v>0</v>
      </c>
      <c r="K22" s="83" t="s">
        <v>116</v>
      </c>
    </row>
    <row r="23" spans="2:11" x14ac:dyDescent="0.25">
      <c r="B23" s="11"/>
      <c r="C23" s="11"/>
      <c r="D23" s="11"/>
      <c r="E23" s="11">
        <v>6414</v>
      </c>
      <c r="F23" s="11" t="s">
        <v>241</v>
      </c>
      <c r="G23" s="79">
        <v>0</v>
      </c>
      <c r="H23" s="8">
        <v>0</v>
      </c>
      <c r="I23" s="82">
        <v>0</v>
      </c>
      <c r="J23" s="83" t="s">
        <v>116</v>
      </c>
      <c r="K23" s="83" t="s">
        <v>116</v>
      </c>
    </row>
    <row r="24" spans="2:11" ht="29.25" customHeight="1" x14ac:dyDescent="0.25">
      <c r="B24" s="11"/>
      <c r="C24" s="11"/>
      <c r="D24" s="11"/>
      <c r="E24" s="11">
        <v>6415</v>
      </c>
      <c r="F24" s="28" t="s">
        <v>211</v>
      </c>
      <c r="G24" s="79">
        <v>0</v>
      </c>
      <c r="H24" s="8">
        <v>0</v>
      </c>
      <c r="I24" s="82">
        <v>0</v>
      </c>
      <c r="J24" s="83" t="s">
        <v>116</v>
      </c>
      <c r="K24" s="83" t="s">
        <v>116</v>
      </c>
    </row>
    <row r="25" spans="2:11" x14ac:dyDescent="0.25">
      <c r="B25" s="11"/>
      <c r="C25" s="11"/>
      <c r="D25" s="11" t="s">
        <v>185</v>
      </c>
      <c r="E25" s="11"/>
      <c r="F25" s="11" t="s">
        <v>186</v>
      </c>
      <c r="G25" s="79">
        <f>G26</f>
        <v>1412.31</v>
      </c>
      <c r="H25" s="8">
        <f>H26</f>
        <v>7500</v>
      </c>
      <c r="I25" s="82">
        <f>I26</f>
        <v>0</v>
      </c>
      <c r="J25" s="81">
        <f t="shared" si="0"/>
        <v>0</v>
      </c>
      <c r="K25" s="81">
        <f t="shared" ref="K25:K38" si="1">I25/H25*100</f>
        <v>0</v>
      </c>
    </row>
    <row r="26" spans="2:11" x14ac:dyDescent="0.25">
      <c r="B26" s="11"/>
      <c r="C26" s="11"/>
      <c r="D26" s="11"/>
      <c r="E26" s="11" t="s">
        <v>187</v>
      </c>
      <c r="F26" s="11" t="s">
        <v>188</v>
      </c>
      <c r="G26" s="79">
        <v>1412.31</v>
      </c>
      <c r="H26" s="8">
        <v>7500</v>
      </c>
      <c r="I26" s="82"/>
      <c r="J26" s="81">
        <f t="shared" si="0"/>
        <v>0</v>
      </c>
      <c r="K26" s="81">
        <f t="shared" si="1"/>
        <v>0</v>
      </c>
    </row>
    <row r="27" spans="2:11" x14ac:dyDescent="0.25">
      <c r="B27" s="10"/>
      <c r="C27" s="14">
        <v>65</v>
      </c>
      <c r="D27" s="14"/>
      <c r="E27" s="14"/>
      <c r="F27" s="14" t="s">
        <v>77</v>
      </c>
      <c r="G27" s="79">
        <f t="shared" ref="G27:I28" si="2">G28</f>
        <v>374.08999999999651</v>
      </c>
      <c r="H27" s="8">
        <f t="shared" si="2"/>
        <v>3980</v>
      </c>
      <c r="I27" s="82">
        <f t="shared" si="2"/>
        <v>507.6</v>
      </c>
      <c r="J27" s="81">
        <f t="shared" si="0"/>
        <v>135.6892726349287</v>
      </c>
      <c r="K27" s="81">
        <f t="shared" si="1"/>
        <v>12.753768844221106</v>
      </c>
    </row>
    <row r="28" spans="2:11" x14ac:dyDescent="0.25">
      <c r="B28" s="11"/>
      <c r="C28" s="11"/>
      <c r="D28" s="11">
        <v>652</v>
      </c>
      <c r="E28" s="11"/>
      <c r="F28" s="11" t="s">
        <v>77</v>
      </c>
      <c r="G28" s="79">
        <f t="shared" si="2"/>
        <v>374.08999999999651</v>
      </c>
      <c r="H28" s="8">
        <v>3980</v>
      </c>
      <c r="I28" s="82">
        <f t="shared" si="2"/>
        <v>507.6</v>
      </c>
      <c r="J28" s="81">
        <f t="shared" si="0"/>
        <v>135.6892726349287</v>
      </c>
      <c r="K28" s="81">
        <f t="shared" si="1"/>
        <v>12.753768844221106</v>
      </c>
    </row>
    <row r="29" spans="2:11" x14ac:dyDescent="0.25">
      <c r="B29" s="11"/>
      <c r="C29" s="11"/>
      <c r="D29" s="11"/>
      <c r="E29" s="11">
        <v>6526</v>
      </c>
      <c r="F29" s="11" t="s">
        <v>78</v>
      </c>
      <c r="G29" s="79">
        <f>56696.06-56321.97</f>
        <v>374.08999999999651</v>
      </c>
      <c r="H29" s="8">
        <v>3980</v>
      </c>
      <c r="I29" s="82">
        <v>507.6</v>
      </c>
      <c r="J29" s="81">
        <f t="shared" si="0"/>
        <v>135.6892726349287</v>
      </c>
      <c r="K29" s="81">
        <f t="shared" si="1"/>
        <v>12.753768844221106</v>
      </c>
    </row>
    <row r="30" spans="2:11" ht="25.5" x14ac:dyDescent="0.25">
      <c r="B30" s="11"/>
      <c r="C30" s="11">
        <v>66</v>
      </c>
      <c r="D30" s="12"/>
      <c r="E30" s="12"/>
      <c r="F30" s="14" t="s">
        <v>79</v>
      </c>
      <c r="G30" s="79">
        <f>G31+G34</f>
        <v>66076.13</v>
      </c>
      <c r="H30" s="8">
        <f>H31+H34</f>
        <v>71500</v>
      </c>
      <c r="I30" s="82">
        <f>I31+I34</f>
        <v>29884.469999999998</v>
      </c>
      <c r="J30" s="81">
        <f t="shared" si="0"/>
        <v>45.227330959001378</v>
      </c>
      <c r="K30" s="81">
        <f t="shared" si="1"/>
        <v>41.796461538461536</v>
      </c>
    </row>
    <row r="31" spans="2:11" ht="29.25" customHeight="1" x14ac:dyDescent="0.25">
      <c r="B31" s="11"/>
      <c r="C31" s="19"/>
      <c r="D31" s="12">
        <v>661</v>
      </c>
      <c r="E31" s="12"/>
      <c r="F31" s="14" t="s">
        <v>37</v>
      </c>
      <c r="G31" s="79">
        <f>G32+G33</f>
        <v>65376.130000000005</v>
      </c>
      <c r="H31" s="8">
        <f>H32+H33</f>
        <v>71500</v>
      </c>
      <c r="I31" s="82">
        <f>I32+I33</f>
        <v>29668.469999999998</v>
      </c>
      <c r="J31" s="81">
        <f t="shared" si="0"/>
        <v>45.381196470332512</v>
      </c>
      <c r="K31" s="81">
        <f t="shared" si="1"/>
        <v>41.494363636363637</v>
      </c>
    </row>
    <row r="32" spans="2:11" x14ac:dyDescent="0.25">
      <c r="B32" s="11"/>
      <c r="C32" s="19"/>
      <c r="D32" s="12"/>
      <c r="E32" s="12">
        <v>6614</v>
      </c>
      <c r="F32" s="14" t="s">
        <v>38</v>
      </c>
      <c r="G32" s="79">
        <v>2685.14</v>
      </c>
      <c r="H32" s="8">
        <v>3500</v>
      </c>
      <c r="I32" s="82">
        <v>3664.1</v>
      </c>
      <c r="J32" s="81">
        <f t="shared" si="0"/>
        <v>136.45843419709959</v>
      </c>
      <c r="K32" s="81">
        <f t="shared" si="1"/>
        <v>104.68857142857142</v>
      </c>
    </row>
    <row r="33" spans="2:11" x14ac:dyDescent="0.25">
      <c r="B33" s="11"/>
      <c r="C33" s="19"/>
      <c r="D33" s="12"/>
      <c r="E33" s="12">
        <v>6615</v>
      </c>
      <c r="F33" s="14" t="s">
        <v>80</v>
      </c>
      <c r="G33" s="79">
        <f>66085.05-3394.06</f>
        <v>62690.990000000005</v>
      </c>
      <c r="H33" s="8">
        <v>68000</v>
      </c>
      <c r="I33" s="82">
        <f>31095.26-5090.89</f>
        <v>26004.37</v>
      </c>
      <c r="J33" s="81">
        <f t="shared" si="0"/>
        <v>41.480235038559762</v>
      </c>
      <c r="K33" s="81">
        <f t="shared" si="1"/>
        <v>38.241720588235296</v>
      </c>
    </row>
    <row r="34" spans="2:11" x14ac:dyDescent="0.25">
      <c r="B34" s="11"/>
      <c r="C34" s="19"/>
      <c r="D34" s="12">
        <v>663</v>
      </c>
      <c r="E34" s="12"/>
      <c r="F34" s="14" t="s">
        <v>173</v>
      </c>
      <c r="G34" s="79">
        <f>G35</f>
        <v>700</v>
      </c>
      <c r="H34" s="8">
        <f>H35</f>
        <v>0</v>
      </c>
      <c r="I34" s="82">
        <f>I35</f>
        <v>216</v>
      </c>
      <c r="J34" s="81">
        <f t="shared" si="0"/>
        <v>30.857142857142854</v>
      </c>
      <c r="K34" s="83" t="s">
        <v>116</v>
      </c>
    </row>
    <row r="35" spans="2:11" x14ac:dyDescent="0.25">
      <c r="B35" s="11"/>
      <c r="C35" s="19"/>
      <c r="D35" s="12"/>
      <c r="E35" s="12">
        <v>6631</v>
      </c>
      <c r="F35" s="14" t="s">
        <v>173</v>
      </c>
      <c r="G35" s="79">
        <v>700</v>
      </c>
      <c r="H35" s="8">
        <v>0</v>
      </c>
      <c r="I35" s="82">
        <v>216</v>
      </c>
      <c r="J35" s="81">
        <f t="shared" si="0"/>
        <v>30.857142857142854</v>
      </c>
      <c r="K35" s="83" t="s">
        <v>116</v>
      </c>
    </row>
    <row r="36" spans="2:11" ht="25.5" x14ac:dyDescent="0.25">
      <c r="B36" s="11"/>
      <c r="C36" s="11">
        <v>67</v>
      </c>
      <c r="D36" s="12"/>
      <c r="E36" s="12"/>
      <c r="F36" s="14" t="s">
        <v>81</v>
      </c>
      <c r="G36" s="79">
        <f t="shared" ref="G36:I37" si="3">G37</f>
        <v>147686.75</v>
      </c>
      <c r="H36" s="8">
        <f t="shared" si="3"/>
        <v>222966</v>
      </c>
      <c r="I36" s="82">
        <f t="shared" si="3"/>
        <v>155857.57</v>
      </c>
      <c r="J36" s="81">
        <f t="shared" si="0"/>
        <v>105.53253423208244</v>
      </c>
      <c r="K36" s="81">
        <f t="shared" si="1"/>
        <v>69.901944691118828</v>
      </c>
    </row>
    <row r="37" spans="2:11" ht="25.5" x14ac:dyDescent="0.25">
      <c r="B37" s="11"/>
      <c r="C37" s="19"/>
      <c r="D37" s="12">
        <v>671</v>
      </c>
      <c r="E37" s="12"/>
      <c r="F37" s="14" t="s">
        <v>82</v>
      </c>
      <c r="G37" s="79">
        <f t="shared" si="3"/>
        <v>147686.75</v>
      </c>
      <c r="H37" s="8">
        <f t="shared" si="3"/>
        <v>222966</v>
      </c>
      <c r="I37" s="82">
        <f t="shared" si="3"/>
        <v>155857.57</v>
      </c>
      <c r="J37" s="81">
        <f t="shared" si="0"/>
        <v>105.53253423208244</v>
      </c>
      <c r="K37" s="81">
        <f t="shared" si="1"/>
        <v>69.901944691118828</v>
      </c>
    </row>
    <row r="38" spans="2:11" ht="25.5" x14ac:dyDescent="0.25">
      <c r="B38" s="11"/>
      <c r="C38" s="19"/>
      <c r="D38" s="12"/>
      <c r="E38" s="12">
        <v>6711</v>
      </c>
      <c r="F38" s="14" t="s">
        <v>83</v>
      </c>
      <c r="G38" s="79">
        <f>204811.1-57124.35</f>
        <v>147686.75</v>
      </c>
      <c r="H38" s="8">
        <v>222966</v>
      </c>
      <c r="I38" s="82">
        <f>214281.49-58423.92</f>
        <v>155857.57</v>
      </c>
      <c r="J38" s="81">
        <f t="shared" si="0"/>
        <v>105.53253423208244</v>
      </c>
      <c r="K38" s="81">
        <f t="shared" si="1"/>
        <v>69.901944691118828</v>
      </c>
    </row>
    <row r="39" spans="2:11" x14ac:dyDescent="0.25">
      <c r="B39" s="11"/>
      <c r="C39" s="11">
        <v>68</v>
      </c>
      <c r="D39" s="12"/>
      <c r="E39" s="12"/>
      <c r="F39" s="14" t="s">
        <v>189</v>
      </c>
      <c r="G39" s="79">
        <f>G40</f>
        <v>640.84</v>
      </c>
      <c r="H39" s="8">
        <v>0</v>
      </c>
      <c r="I39" s="82">
        <f>I40</f>
        <v>1448.1</v>
      </c>
      <c r="J39" s="81">
        <f t="shared" si="0"/>
        <v>225.96904063416764</v>
      </c>
      <c r="K39" s="83" t="s">
        <v>116</v>
      </c>
    </row>
    <row r="40" spans="2:11" x14ac:dyDescent="0.25">
      <c r="B40" s="11"/>
      <c r="C40" s="19"/>
      <c r="D40" s="12">
        <v>683</v>
      </c>
      <c r="E40" s="12"/>
      <c r="F40" s="14" t="s">
        <v>189</v>
      </c>
      <c r="G40" s="79">
        <f>G41</f>
        <v>640.84</v>
      </c>
      <c r="H40" s="8">
        <v>0</v>
      </c>
      <c r="I40" s="82">
        <f>I41</f>
        <v>1448.1</v>
      </c>
      <c r="J40" s="81">
        <f t="shared" si="0"/>
        <v>225.96904063416764</v>
      </c>
      <c r="K40" s="83" t="s">
        <v>116</v>
      </c>
    </row>
    <row r="41" spans="2:11" x14ac:dyDescent="0.25">
      <c r="B41" s="11"/>
      <c r="C41" s="19"/>
      <c r="D41" s="12"/>
      <c r="E41" s="12">
        <v>6831</v>
      </c>
      <c r="F41" s="14" t="s">
        <v>189</v>
      </c>
      <c r="G41" s="79">
        <v>640.84</v>
      </c>
      <c r="H41" s="8">
        <v>0</v>
      </c>
      <c r="I41" s="82">
        <v>1448.1</v>
      </c>
      <c r="J41" s="81">
        <f t="shared" si="0"/>
        <v>225.96904063416764</v>
      </c>
      <c r="K41" s="83" t="s">
        <v>116</v>
      </c>
    </row>
    <row r="42" spans="2:11" s="56" customFormat="1" x14ac:dyDescent="0.25">
      <c r="B42" s="19">
        <v>7</v>
      </c>
      <c r="C42" s="19"/>
      <c r="D42" s="65"/>
      <c r="E42" s="65"/>
      <c r="F42" s="10" t="s">
        <v>26</v>
      </c>
      <c r="G42" s="80">
        <f t="shared" ref="G42:I44" si="4">G43</f>
        <v>241.59</v>
      </c>
      <c r="H42" s="59">
        <f t="shared" si="4"/>
        <v>100</v>
      </c>
      <c r="I42" s="80">
        <f t="shared" si="4"/>
        <v>67.42</v>
      </c>
      <c r="J42" s="81">
        <f t="shared" si="0"/>
        <v>27.906784221201207</v>
      </c>
      <c r="K42" s="81">
        <f t="shared" ref="K42:K50" si="5">I42/H42*100</f>
        <v>67.42</v>
      </c>
    </row>
    <row r="43" spans="2:11" ht="30.75" customHeight="1" x14ac:dyDescent="0.25">
      <c r="B43" s="11"/>
      <c r="C43" s="11">
        <v>72</v>
      </c>
      <c r="D43" s="12"/>
      <c r="E43" s="12"/>
      <c r="F43" s="28" t="s">
        <v>27</v>
      </c>
      <c r="G43" s="79">
        <f t="shared" si="4"/>
        <v>241.59</v>
      </c>
      <c r="H43" s="8">
        <f t="shared" si="4"/>
        <v>100</v>
      </c>
      <c r="I43" s="82">
        <f t="shared" si="4"/>
        <v>67.42</v>
      </c>
      <c r="J43" s="81">
        <f t="shared" si="0"/>
        <v>27.906784221201207</v>
      </c>
      <c r="K43" s="81">
        <f t="shared" si="5"/>
        <v>67.42</v>
      </c>
    </row>
    <row r="44" spans="2:11" x14ac:dyDescent="0.25">
      <c r="B44" s="11"/>
      <c r="C44" s="11"/>
      <c r="D44" s="11">
        <v>721</v>
      </c>
      <c r="E44" s="11"/>
      <c r="F44" s="28" t="s">
        <v>39</v>
      </c>
      <c r="G44" s="79">
        <f t="shared" si="4"/>
        <v>241.59</v>
      </c>
      <c r="H44" s="8">
        <f t="shared" si="4"/>
        <v>100</v>
      </c>
      <c r="I44" s="82">
        <f t="shared" si="4"/>
        <v>67.42</v>
      </c>
      <c r="J44" s="81">
        <f t="shared" si="0"/>
        <v>27.906784221201207</v>
      </c>
      <c r="K44" s="81">
        <f t="shared" si="5"/>
        <v>67.42</v>
      </c>
    </row>
    <row r="45" spans="2:11" x14ac:dyDescent="0.25">
      <c r="B45" s="11"/>
      <c r="C45" s="11"/>
      <c r="D45" s="11"/>
      <c r="E45" s="11">
        <v>7211</v>
      </c>
      <c r="F45" s="28" t="s">
        <v>40</v>
      </c>
      <c r="G45" s="79">
        <v>241.59</v>
      </c>
      <c r="H45" s="8">
        <v>100</v>
      </c>
      <c r="I45" s="82">
        <v>67.42</v>
      </c>
      <c r="J45" s="81">
        <f t="shared" si="0"/>
        <v>27.906784221201207</v>
      </c>
      <c r="K45" s="81">
        <f t="shared" si="5"/>
        <v>67.42</v>
      </c>
    </row>
    <row r="46" spans="2:11" s="56" customFormat="1" x14ac:dyDescent="0.25">
      <c r="B46" s="19">
        <v>9</v>
      </c>
      <c r="C46" s="19"/>
      <c r="D46" s="19"/>
      <c r="E46" s="19"/>
      <c r="F46" s="66" t="s">
        <v>212</v>
      </c>
      <c r="G46" s="77">
        <f>G47</f>
        <v>208500.24000000002</v>
      </c>
      <c r="H46" s="60">
        <f>H47</f>
        <v>50000</v>
      </c>
      <c r="I46" s="81">
        <f>I47</f>
        <v>64361.420000000013</v>
      </c>
      <c r="J46" s="81">
        <f t="shared" si="0"/>
        <v>30.868751038368114</v>
      </c>
      <c r="K46" s="81">
        <f t="shared" si="5"/>
        <v>128.72284000000002</v>
      </c>
    </row>
    <row r="47" spans="2:11" ht="30.75" customHeight="1" x14ac:dyDescent="0.25">
      <c r="B47" s="11"/>
      <c r="C47" s="11">
        <v>92</v>
      </c>
      <c r="D47" s="12"/>
      <c r="E47" s="12"/>
      <c r="F47" s="28" t="s">
        <v>84</v>
      </c>
      <c r="G47" s="79">
        <f t="shared" ref="G47:I47" si="6">G48</f>
        <v>208500.24000000002</v>
      </c>
      <c r="H47" s="8">
        <f t="shared" si="6"/>
        <v>50000</v>
      </c>
      <c r="I47" s="82">
        <f t="shared" si="6"/>
        <v>64361.420000000013</v>
      </c>
      <c r="J47" s="81">
        <f t="shared" si="0"/>
        <v>30.868751038368114</v>
      </c>
      <c r="K47" s="81">
        <f t="shared" si="5"/>
        <v>128.72284000000002</v>
      </c>
    </row>
    <row r="48" spans="2:11" x14ac:dyDescent="0.25">
      <c r="B48" s="11"/>
      <c r="C48" s="11"/>
      <c r="D48" s="11">
        <v>922</v>
      </c>
      <c r="E48" s="11"/>
      <c r="F48" s="28" t="s">
        <v>84</v>
      </c>
      <c r="G48" s="79">
        <f>G49</f>
        <v>208500.24000000002</v>
      </c>
      <c r="H48" s="8">
        <f>H49</f>
        <v>50000</v>
      </c>
      <c r="I48" s="82">
        <f>I49</f>
        <v>64361.420000000013</v>
      </c>
      <c r="J48" s="81">
        <f t="shared" si="0"/>
        <v>30.868751038368114</v>
      </c>
      <c r="K48" s="81">
        <f t="shared" si="5"/>
        <v>128.72284000000002</v>
      </c>
    </row>
    <row r="49" spans="2:11" x14ac:dyDescent="0.25">
      <c r="B49" s="11"/>
      <c r="C49" s="11"/>
      <c r="D49" s="11"/>
      <c r="E49" s="11">
        <v>9221</v>
      </c>
      <c r="F49" s="28" t="s">
        <v>85</v>
      </c>
      <c r="G49" s="79">
        <f>260716.26-52216.02</f>
        <v>208500.24000000002</v>
      </c>
      <c r="H49" s="8">
        <v>50000</v>
      </c>
      <c r="I49" s="82">
        <f>141521.42-77160</f>
        <v>64361.420000000013</v>
      </c>
      <c r="J49" s="81">
        <f t="shared" si="0"/>
        <v>30.868751038368114</v>
      </c>
      <c r="K49" s="81">
        <f t="shared" si="5"/>
        <v>128.72284000000002</v>
      </c>
    </row>
    <row r="50" spans="2:11" s="56" customFormat="1" x14ac:dyDescent="0.25">
      <c r="B50" s="149" t="s">
        <v>86</v>
      </c>
      <c r="C50" s="150"/>
      <c r="D50" s="150"/>
      <c r="E50" s="150"/>
      <c r="F50" s="151"/>
      <c r="G50" s="81">
        <f>G11+G42+G47</f>
        <v>1775179.4300000004</v>
      </c>
      <c r="H50" s="61">
        <f>H11+H42+H47</f>
        <v>3562796</v>
      </c>
      <c r="I50" s="81">
        <f>I10+I46</f>
        <v>1966906.9500000002</v>
      </c>
      <c r="J50" s="81">
        <f t="shared" si="0"/>
        <v>110.80045863307461</v>
      </c>
      <c r="K50" s="81">
        <f t="shared" si="5"/>
        <v>55.206836147789552</v>
      </c>
    </row>
    <row r="52" spans="2:11" ht="18" x14ac:dyDescent="0.25">
      <c r="B52" s="3"/>
      <c r="C52" s="3"/>
      <c r="D52" s="3"/>
      <c r="E52" s="3"/>
      <c r="F52" s="3"/>
      <c r="G52" s="3"/>
      <c r="H52" s="3"/>
      <c r="I52" s="4"/>
      <c r="J52" s="4"/>
      <c r="K52" s="4"/>
    </row>
    <row r="53" spans="2:11" ht="36.75" customHeight="1" x14ac:dyDescent="0.25">
      <c r="B53" s="152" t="s">
        <v>8</v>
      </c>
      <c r="C53" s="153"/>
      <c r="D53" s="153"/>
      <c r="E53" s="153"/>
      <c r="F53" s="154"/>
      <c r="G53" s="39" t="s">
        <v>233</v>
      </c>
      <c r="H53" s="39" t="s">
        <v>231</v>
      </c>
      <c r="I53" s="39" t="s">
        <v>234</v>
      </c>
      <c r="J53" s="39" t="s">
        <v>30</v>
      </c>
      <c r="K53" s="39" t="s">
        <v>62</v>
      </c>
    </row>
    <row r="54" spans="2:11" x14ac:dyDescent="0.25">
      <c r="B54" s="155">
        <v>1</v>
      </c>
      <c r="C54" s="156"/>
      <c r="D54" s="156"/>
      <c r="E54" s="156"/>
      <c r="F54" s="157"/>
      <c r="G54" s="42">
        <v>2</v>
      </c>
      <c r="H54" s="42">
        <v>3</v>
      </c>
      <c r="I54" s="42">
        <v>4</v>
      </c>
      <c r="J54" s="42" t="s">
        <v>124</v>
      </c>
      <c r="K54" s="42" t="s">
        <v>176</v>
      </c>
    </row>
    <row r="55" spans="2:11" s="56" customFormat="1" x14ac:dyDescent="0.25">
      <c r="B55" s="10"/>
      <c r="C55" s="10"/>
      <c r="D55" s="10"/>
      <c r="E55" s="10"/>
      <c r="F55" s="10" t="s">
        <v>59</v>
      </c>
      <c r="G55" s="77">
        <f>G56+G106</f>
        <v>1673924.32</v>
      </c>
      <c r="H55" s="60">
        <f>H56+H106</f>
        <v>3562796</v>
      </c>
      <c r="I55" s="81">
        <f>I56+I106</f>
        <v>1925059.6</v>
      </c>
      <c r="J55" s="81">
        <f t="shared" ref="J55:J70" si="7">I55/G55*100</f>
        <v>115.00278578902541</v>
      </c>
      <c r="K55" s="81">
        <f t="shared" ref="K55:K65" si="8">I55/H55*100</f>
        <v>54.032271283564938</v>
      </c>
    </row>
    <row r="56" spans="2:11" s="56" customFormat="1" x14ac:dyDescent="0.25">
      <c r="B56" s="10">
        <v>3</v>
      </c>
      <c r="C56" s="10"/>
      <c r="D56" s="10"/>
      <c r="E56" s="10"/>
      <c r="F56" s="10" t="s">
        <v>4</v>
      </c>
      <c r="G56" s="77">
        <f>G57+G66+G98+G103</f>
        <v>1629203.22</v>
      </c>
      <c r="H56" s="60">
        <f>H57+H66+H98+H103</f>
        <v>3550096</v>
      </c>
      <c r="I56" s="81">
        <f>I57+I66+I98+I103</f>
        <v>1924177.11</v>
      </c>
      <c r="J56" s="81">
        <f t="shared" si="7"/>
        <v>118.10540799201222</v>
      </c>
      <c r="K56" s="81">
        <f t="shared" si="8"/>
        <v>54.200706403432477</v>
      </c>
    </row>
    <row r="57" spans="2:11" x14ac:dyDescent="0.25">
      <c r="B57" s="10"/>
      <c r="C57" s="14">
        <v>31</v>
      </c>
      <c r="D57" s="14"/>
      <c r="E57" s="14"/>
      <c r="F57" s="14" t="s">
        <v>5</v>
      </c>
      <c r="G57" s="79">
        <f>G58+G62+G64</f>
        <v>1343209.6899999997</v>
      </c>
      <c r="H57" s="8">
        <f>H58+H62+H64</f>
        <v>3189200</v>
      </c>
      <c r="I57" s="82">
        <f>I58+I62+I64</f>
        <v>1680772.77</v>
      </c>
      <c r="J57" s="81">
        <f t="shared" si="7"/>
        <v>125.1310783798768</v>
      </c>
      <c r="K57" s="81">
        <f t="shared" si="8"/>
        <v>52.702018374513983</v>
      </c>
    </row>
    <row r="58" spans="2:11" x14ac:dyDescent="0.25">
      <c r="B58" s="11"/>
      <c r="C58" s="11"/>
      <c r="D58" s="11">
        <v>311</v>
      </c>
      <c r="E58" s="11"/>
      <c r="F58" s="11" t="s">
        <v>41</v>
      </c>
      <c r="G58" s="79">
        <f>G59+G60+G61</f>
        <v>1109897.2799999998</v>
      </c>
      <c r="H58" s="8">
        <f>H59+H60+H61</f>
        <v>2637170</v>
      </c>
      <c r="I58" s="82">
        <f>SUM(I59:I61)</f>
        <v>1387293.32</v>
      </c>
      <c r="J58" s="81">
        <f t="shared" si="7"/>
        <v>124.99294709506815</v>
      </c>
      <c r="K58" s="81">
        <f t="shared" si="8"/>
        <v>52.605380768020268</v>
      </c>
    </row>
    <row r="59" spans="2:11" x14ac:dyDescent="0.25">
      <c r="B59" s="11"/>
      <c r="C59" s="11"/>
      <c r="D59" s="11"/>
      <c r="E59" s="11">
        <v>3111</v>
      </c>
      <c r="F59" s="11" t="s">
        <v>42</v>
      </c>
      <c r="G59" s="79">
        <f>1017444.84+22200.21+494.05</f>
        <v>1040139.1</v>
      </c>
      <c r="H59" s="8">
        <v>2475170</v>
      </c>
      <c r="I59" s="82">
        <v>1301881.03</v>
      </c>
      <c r="J59" s="81">
        <f t="shared" si="7"/>
        <v>125.16412756716866</v>
      </c>
      <c r="K59" s="81">
        <f t="shared" si="8"/>
        <v>52.597640970115187</v>
      </c>
    </row>
    <row r="60" spans="2:11" x14ac:dyDescent="0.25">
      <c r="B60" s="11"/>
      <c r="C60" s="11"/>
      <c r="D60" s="11"/>
      <c r="E60" s="11">
        <v>3113</v>
      </c>
      <c r="F60" s="11" t="s">
        <v>190</v>
      </c>
      <c r="G60" s="79">
        <f>31023.4+14413.38</f>
        <v>45436.78</v>
      </c>
      <c r="H60" s="8">
        <v>82000</v>
      </c>
      <c r="I60" s="82">
        <v>45257.29</v>
      </c>
      <c r="J60" s="81">
        <f t="shared" si="7"/>
        <v>99.604967605538945</v>
      </c>
      <c r="K60" s="81">
        <f t="shared" si="8"/>
        <v>55.191817073170732</v>
      </c>
    </row>
    <row r="61" spans="2:11" x14ac:dyDescent="0.25">
      <c r="B61" s="11"/>
      <c r="C61" s="11"/>
      <c r="D61" s="11"/>
      <c r="E61" s="11">
        <v>3114</v>
      </c>
      <c r="F61" s="11" t="s">
        <v>191</v>
      </c>
      <c r="G61" s="79">
        <v>24321.4</v>
      </c>
      <c r="H61" s="8">
        <v>80000</v>
      </c>
      <c r="I61" s="82">
        <v>40155</v>
      </c>
      <c r="J61" s="81">
        <f t="shared" si="7"/>
        <v>165.10151553775688</v>
      </c>
      <c r="K61" s="81">
        <f t="shared" si="8"/>
        <v>50.193750000000001</v>
      </c>
    </row>
    <row r="62" spans="2:11" x14ac:dyDescent="0.25">
      <c r="B62" s="11"/>
      <c r="C62" s="11"/>
      <c r="D62" s="11">
        <v>312</v>
      </c>
      <c r="E62" s="11"/>
      <c r="F62" s="11" t="s">
        <v>157</v>
      </c>
      <c r="G62" s="79">
        <f>G63</f>
        <v>49926.22</v>
      </c>
      <c r="H62" s="8">
        <f>H63</f>
        <v>116530</v>
      </c>
      <c r="I62" s="82">
        <f>I63</f>
        <v>65429.06</v>
      </c>
      <c r="J62" s="81">
        <f t="shared" si="7"/>
        <v>131.05149959279913</v>
      </c>
      <c r="K62" s="81">
        <f t="shared" si="8"/>
        <v>56.147824594525005</v>
      </c>
    </row>
    <row r="63" spans="2:11" x14ac:dyDescent="0.25">
      <c r="B63" s="11"/>
      <c r="C63" s="11"/>
      <c r="D63" s="11"/>
      <c r="E63" s="11">
        <v>3121</v>
      </c>
      <c r="F63" s="11" t="s">
        <v>157</v>
      </c>
      <c r="G63" s="79">
        <v>49926.22</v>
      </c>
      <c r="H63" s="8">
        <v>116530</v>
      </c>
      <c r="I63" s="82">
        <v>65429.06</v>
      </c>
      <c r="J63" s="81">
        <f t="shared" si="7"/>
        <v>131.05149959279913</v>
      </c>
      <c r="K63" s="81">
        <f t="shared" si="8"/>
        <v>56.147824594525005</v>
      </c>
    </row>
    <row r="64" spans="2:11" x14ac:dyDescent="0.25">
      <c r="B64" s="11"/>
      <c r="C64" s="11"/>
      <c r="D64" s="11">
        <v>313</v>
      </c>
      <c r="E64" s="11"/>
      <c r="F64" s="11" t="s">
        <v>192</v>
      </c>
      <c r="G64" s="79">
        <f>G65</f>
        <v>183386.19</v>
      </c>
      <c r="H64" s="8">
        <f>H65</f>
        <v>435500</v>
      </c>
      <c r="I64" s="82">
        <f>I65</f>
        <v>228050.39</v>
      </c>
      <c r="J64" s="81">
        <f t="shared" si="7"/>
        <v>124.35526906360835</v>
      </c>
      <c r="K64" s="81">
        <f t="shared" si="8"/>
        <v>52.365187141216992</v>
      </c>
    </row>
    <row r="65" spans="2:13" x14ac:dyDescent="0.25">
      <c r="B65" s="11"/>
      <c r="C65" s="11"/>
      <c r="D65" s="11"/>
      <c r="E65" s="11">
        <v>3132</v>
      </c>
      <c r="F65" s="11" t="s">
        <v>158</v>
      </c>
      <c r="G65" s="79">
        <v>183386.19</v>
      </c>
      <c r="H65" s="8">
        <v>435500</v>
      </c>
      <c r="I65" s="82">
        <v>228050.39</v>
      </c>
      <c r="J65" s="81">
        <f t="shared" si="7"/>
        <v>124.35526906360835</v>
      </c>
      <c r="K65" s="81">
        <f t="shared" si="8"/>
        <v>52.365187141216992</v>
      </c>
    </row>
    <row r="66" spans="2:13" x14ac:dyDescent="0.25">
      <c r="B66" s="11"/>
      <c r="C66" s="11">
        <v>32</v>
      </c>
      <c r="D66" s="12"/>
      <c r="E66" s="12"/>
      <c r="F66" s="11" t="s">
        <v>13</v>
      </c>
      <c r="G66" s="79">
        <f>G67+G72+G79+G89+G91</f>
        <v>283864.67000000004</v>
      </c>
      <c r="H66" s="8">
        <f>H67+H72+H79+H89+H91</f>
        <v>359836</v>
      </c>
      <c r="I66" s="82">
        <f>I67+I72+I79+I89+I91</f>
        <v>241481.16</v>
      </c>
      <c r="J66" s="81">
        <f t="shared" si="7"/>
        <v>85.069114095811912</v>
      </c>
      <c r="K66" s="81">
        <f>I66/H66*100</f>
        <v>67.108671728231755</v>
      </c>
    </row>
    <row r="67" spans="2:13" x14ac:dyDescent="0.25">
      <c r="B67" s="11"/>
      <c r="C67" s="11"/>
      <c r="D67" s="11">
        <v>321</v>
      </c>
      <c r="E67" s="11"/>
      <c r="F67" s="11" t="s">
        <v>43</v>
      </c>
      <c r="G67" s="79">
        <f>G68+G69+G70</f>
        <v>98606.63</v>
      </c>
      <c r="H67" s="8">
        <f>H68+H69+H70</f>
        <v>152910</v>
      </c>
      <c r="I67" s="82">
        <f>SUM(I68:I71)</f>
        <v>89432.48</v>
      </c>
      <c r="J67" s="81">
        <f t="shared" si="7"/>
        <v>90.696213834708672</v>
      </c>
      <c r="K67" s="81">
        <f>I67/H67*100</f>
        <v>58.487005428029562</v>
      </c>
    </row>
    <row r="68" spans="2:13" x14ac:dyDescent="0.25">
      <c r="B68" s="11"/>
      <c r="C68" s="19"/>
      <c r="D68" s="11"/>
      <c r="E68" s="11">
        <v>3211</v>
      </c>
      <c r="F68" s="28" t="s">
        <v>44</v>
      </c>
      <c r="G68" s="79">
        <f>31596.46-1109.82</f>
        <v>30486.639999999999</v>
      </c>
      <c r="H68" s="8">
        <v>36380</v>
      </c>
      <c r="I68" s="82">
        <f>19925.18-1553.19</f>
        <v>18371.990000000002</v>
      </c>
      <c r="J68" s="81">
        <f t="shared" si="7"/>
        <v>60.262429706914247</v>
      </c>
      <c r="K68" s="81">
        <f>I68/H68*100</f>
        <v>50.500247388675099</v>
      </c>
    </row>
    <row r="69" spans="2:13" x14ac:dyDescent="0.25">
      <c r="B69" s="11"/>
      <c r="C69" s="19"/>
      <c r="D69" s="11"/>
      <c r="E69" s="11">
        <v>3212</v>
      </c>
      <c r="F69" s="28" t="s">
        <v>193</v>
      </c>
      <c r="G69" s="79">
        <f>63054.07+4426.15</f>
        <v>67480.22</v>
      </c>
      <c r="H69" s="8">
        <f>110140+5060</f>
        <v>115200</v>
      </c>
      <c r="I69" s="82">
        <v>70114.149999999994</v>
      </c>
      <c r="J69" s="81">
        <f t="shared" si="7"/>
        <v>103.90326231894322</v>
      </c>
      <c r="K69" s="81">
        <f>I69/H69*100</f>
        <v>60.862977430555553</v>
      </c>
    </row>
    <row r="70" spans="2:13" x14ac:dyDescent="0.25">
      <c r="B70" s="11"/>
      <c r="C70" s="19"/>
      <c r="D70" s="11"/>
      <c r="E70" s="11">
        <v>3213</v>
      </c>
      <c r="F70" s="28" t="s">
        <v>87</v>
      </c>
      <c r="G70" s="79">
        <f>1029.21-389.44</f>
        <v>639.77</v>
      </c>
      <c r="H70" s="8">
        <v>1330</v>
      </c>
      <c r="I70" s="82">
        <f>1266.34-320</f>
        <v>946.33999999999992</v>
      </c>
      <c r="J70" s="81">
        <f t="shared" si="7"/>
        <v>147.91878331275302</v>
      </c>
      <c r="K70" s="81">
        <f>I70/H70*100</f>
        <v>71.153383458646616</v>
      </c>
    </row>
    <row r="71" spans="2:13" x14ac:dyDescent="0.25">
      <c r="B71" s="11"/>
      <c r="C71" s="19"/>
      <c r="D71" s="11"/>
      <c r="E71" s="11">
        <v>3214</v>
      </c>
      <c r="F71" s="28" t="s">
        <v>220</v>
      </c>
      <c r="G71" s="79"/>
      <c r="H71" s="8"/>
      <c r="I71" s="82"/>
      <c r="J71" s="83" t="s">
        <v>116</v>
      </c>
      <c r="K71" s="83" t="s">
        <v>116</v>
      </c>
    </row>
    <row r="72" spans="2:13" x14ac:dyDescent="0.25">
      <c r="B72" s="11"/>
      <c r="C72" s="11"/>
      <c r="D72" s="11">
        <v>322</v>
      </c>
      <c r="E72" s="11"/>
      <c r="F72" s="11" t="s">
        <v>105</v>
      </c>
      <c r="G72" s="79">
        <f>SUM(G73:G78)</f>
        <v>73944.569999999992</v>
      </c>
      <c r="H72" s="8">
        <f>SUM(H73:H78)</f>
        <v>71560</v>
      </c>
      <c r="I72" s="82">
        <f>SUM(I73:I78)</f>
        <v>64361.279999999999</v>
      </c>
      <c r="J72" s="81">
        <f t="shared" ref="J72:J102" si="9">I72/G72*100</f>
        <v>87.039900292881555</v>
      </c>
      <c r="K72" s="81">
        <f t="shared" ref="K72:K84" si="10">I72/H72*100</f>
        <v>89.940301844605912</v>
      </c>
    </row>
    <row r="73" spans="2:13" x14ac:dyDescent="0.25">
      <c r="B73" s="11"/>
      <c r="C73" s="19"/>
      <c r="D73" s="11"/>
      <c r="E73" s="11">
        <v>3221</v>
      </c>
      <c r="F73" s="28" t="s">
        <v>88</v>
      </c>
      <c r="G73" s="79">
        <f>3778.55+7258.31-234.14-1631.44</f>
        <v>9171.2800000000007</v>
      </c>
      <c r="H73" s="8">
        <f>5060+5890+1990</f>
        <v>12940</v>
      </c>
      <c r="I73" s="82">
        <f>9325.64-2895.6</f>
        <v>6430.0399999999991</v>
      </c>
      <c r="J73" s="81">
        <f t="shared" si="9"/>
        <v>70.110606153121466</v>
      </c>
      <c r="K73" s="81">
        <f t="shared" si="10"/>
        <v>49.691190108191648</v>
      </c>
    </row>
    <row r="74" spans="2:13" x14ac:dyDescent="0.25">
      <c r="B74" s="11"/>
      <c r="C74" s="19"/>
      <c r="D74" s="11"/>
      <c r="E74" s="11">
        <v>3222</v>
      </c>
      <c r="F74" s="28" t="s">
        <v>89</v>
      </c>
      <c r="G74" s="79">
        <f>1204.94+21519.09-10109.06</f>
        <v>12614.97</v>
      </c>
      <c r="H74" s="8">
        <f>1020+5240</f>
        <v>6260</v>
      </c>
      <c r="I74" s="82">
        <f>57618.61-43038.75</f>
        <v>14579.86</v>
      </c>
      <c r="J74" s="81">
        <f t="shared" si="9"/>
        <v>115.57585947489373</v>
      </c>
      <c r="K74" s="81">
        <f t="shared" si="10"/>
        <v>232.90511182108625</v>
      </c>
    </row>
    <row r="75" spans="2:13" x14ac:dyDescent="0.25">
      <c r="B75" s="11"/>
      <c r="C75" s="19"/>
      <c r="D75" s="11"/>
      <c r="E75" s="11">
        <v>3223</v>
      </c>
      <c r="F75" s="28" t="s">
        <v>90</v>
      </c>
      <c r="G75" s="79">
        <f>41723.18+9011.1-1613.85-297.03</f>
        <v>48823.4</v>
      </c>
      <c r="H75" s="8">
        <f>9290+30530+2840+2840+3050</f>
        <v>48550</v>
      </c>
      <c r="I75" s="82">
        <f>57389.07-17567.65</f>
        <v>39821.42</v>
      </c>
      <c r="J75" s="81">
        <f t="shared" si="9"/>
        <v>81.562160767173111</v>
      </c>
      <c r="K75" s="81">
        <f t="shared" si="10"/>
        <v>82.021462409886709</v>
      </c>
    </row>
    <row r="76" spans="2:13" x14ac:dyDescent="0.25">
      <c r="B76" s="11"/>
      <c r="C76" s="19"/>
      <c r="D76" s="11"/>
      <c r="E76" s="11">
        <v>3224</v>
      </c>
      <c r="F76" s="28" t="s">
        <v>91</v>
      </c>
      <c r="G76" s="79">
        <f>460.01+1295.37-337.48</f>
        <v>1417.8999999999999</v>
      </c>
      <c r="H76" s="8">
        <f>1200+1550</f>
        <v>2750</v>
      </c>
      <c r="I76" s="82">
        <f>2326.21-323.54</f>
        <v>2002.67</v>
      </c>
      <c r="J76" s="81">
        <f t="shared" si="9"/>
        <v>141.24197757246634</v>
      </c>
      <c r="K76" s="81">
        <f t="shared" si="10"/>
        <v>72.824363636363643</v>
      </c>
    </row>
    <row r="77" spans="2:13" x14ac:dyDescent="0.25">
      <c r="B77" s="11"/>
      <c r="C77" s="19"/>
      <c r="D77" s="11"/>
      <c r="E77" s="11">
        <v>3225</v>
      </c>
      <c r="F77" s="28" t="s">
        <v>194</v>
      </c>
      <c r="G77" s="79">
        <f>1447.4-1039.63</f>
        <v>407.77</v>
      </c>
      <c r="H77" s="8">
        <v>660</v>
      </c>
      <c r="I77" s="82">
        <f>808.24-240.95</f>
        <v>567.29</v>
      </c>
      <c r="J77" s="81">
        <f t="shared" si="9"/>
        <v>139.12009220884323</v>
      </c>
      <c r="K77" s="81">
        <f t="shared" si="10"/>
        <v>85.953030303030303</v>
      </c>
    </row>
    <row r="78" spans="2:13" x14ac:dyDescent="0.25">
      <c r="B78" s="11"/>
      <c r="C78" s="19"/>
      <c r="D78" s="11"/>
      <c r="E78" s="11">
        <v>3227</v>
      </c>
      <c r="F78" s="28" t="s">
        <v>93</v>
      </c>
      <c r="G78" s="79">
        <v>1509.25</v>
      </c>
      <c r="H78" s="8">
        <v>400</v>
      </c>
      <c r="I78" s="82">
        <v>960</v>
      </c>
      <c r="J78" s="81">
        <f t="shared" si="9"/>
        <v>63.607752194798742</v>
      </c>
      <c r="K78" s="81">
        <f t="shared" si="10"/>
        <v>240</v>
      </c>
      <c r="M78" s="68"/>
    </row>
    <row r="79" spans="2:13" x14ac:dyDescent="0.25">
      <c r="B79" s="11"/>
      <c r="C79" s="11"/>
      <c r="D79" s="11">
        <v>323</v>
      </c>
      <c r="E79" s="11"/>
      <c r="F79" s="11" t="s">
        <v>106</v>
      </c>
      <c r="G79" s="79">
        <f>SUM(G80:G88)</f>
        <v>47543.05</v>
      </c>
      <c r="H79" s="8">
        <f>SUM(H80:H88)</f>
        <v>89106</v>
      </c>
      <c r="I79" s="82">
        <f>SUM(I80:I88)</f>
        <v>59408.86</v>
      </c>
      <c r="J79" s="81">
        <f t="shared" si="9"/>
        <v>124.95803277240312</v>
      </c>
      <c r="K79" s="81">
        <f t="shared" si="10"/>
        <v>66.672120844836485</v>
      </c>
    </row>
    <row r="80" spans="2:13" x14ac:dyDescent="0.25">
      <c r="B80" s="11"/>
      <c r="C80" s="19"/>
      <c r="D80" s="11"/>
      <c r="E80" s="11">
        <v>3231</v>
      </c>
      <c r="F80" s="28" t="s">
        <v>94</v>
      </c>
      <c r="G80" s="79">
        <f>1365.38+2820.1-325.23-384.51</f>
        <v>3475.74</v>
      </c>
      <c r="H80" s="8">
        <f>1326+660+170+130</f>
        <v>2286</v>
      </c>
      <c r="I80" s="82">
        <f>5826.63-1490.78</f>
        <v>4335.8500000000004</v>
      </c>
      <c r="J80" s="81">
        <f t="shared" si="9"/>
        <v>124.74609723397035</v>
      </c>
      <c r="K80" s="81">
        <f t="shared" si="10"/>
        <v>189.66972878390203</v>
      </c>
    </row>
    <row r="81" spans="2:13" x14ac:dyDescent="0.25">
      <c r="B81" s="11"/>
      <c r="C81" s="19"/>
      <c r="D81" s="11"/>
      <c r="E81" s="11">
        <v>3232</v>
      </c>
      <c r="F81" s="28" t="s">
        <v>95</v>
      </c>
      <c r="G81" s="79">
        <f>1942.22+2792.02</f>
        <v>4734.24</v>
      </c>
      <c r="H81" s="8">
        <f>1330+4030</f>
        <v>5360</v>
      </c>
      <c r="I81" s="82">
        <f>4127.08-1365.23</f>
        <v>2761.85</v>
      </c>
      <c r="J81" s="81">
        <f t="shared" si="9"/>
        <v>58.337769103383017</v>
      </c>
      <c r="K81" s="81">
        <f t="shared" si="10"/>
        <v>51.527052238805972</v>
      </c>
    </row>
    <row r="82" spans="2:13" x14ac:dyDescent="0.25">
      <c r="B82" s="11"/>
      <c r="C82" s="19"/>
      <c r="D82" s="11"/>
      <c r="E82" s="11">
        <v>3233</v>
      </c>
      <c r="F82" s="28" t="s">
        <v>96</v>
      </c>
      <c r="G82" s="79">
        <v>0</v>
      </c>
      <c r="H82" s="8">
        <v>0</v>
      </c>
      <c r="I82" s="82">
        <v>0</v>
      </c>
      <c r="J82" s="83" t="s">
        <v>116</v>
      </c>
      <c r="K82" s="83" t="s">
        <v>116</v>
      </c>
      <c r="M82" s="68"/>
    </row>
    <row r="83" spans="2:13" x14ac:dyDescent="0.25">
      <c r="B83" s="11"/>
      <c r="C83" s="19"/>
      <c r="D83" s="11"/>
      <c r="E83" s="11">
        <v>3234</v>
      </c>
      <c r="F83" s="28" t="s">
        <v>97</v>
      </c>
      <c r="G83" s="79">
        <f>5835.46</f>
        <v>5835.46</v>
      </c>
      <c r="H83" s="8">
        <v>8630</v>
      </c>
      <c r="I83" s="82">
        <f>9488.31-4816.53</f>
        <v>4671.78</v>
      </c>
      <c r="J83" s="81">
        <f t="shared" si="9"/>
        <v>80.058470112039146</v>
      </c>
      <c r="K83" s="81">
        <f t="shared" si="10"/>
        <v>54.13418308227115</v>
      </c>
    </row>
    <row r="84" spans="2:13" x14ac:dyDescent="0.25">
      <c r="B84" s="11"/>
      <c r="C84" s="19"/>
      <c r="D84" s="11"/>
      <c r="E84" s="11">
        <v>3235</v>
      </c>
      <c r="F84" s="28" t="s">
        <v>156</v>
      </c>
      <c r="G84" s="79">
        <v>14761.81</v>
      </c>
      <c r="H84" s="8">
        <v>35070</v>
      </c>
      <c r="I84" s="82">
        <v>17535.72</v>
      </c>
      <c r="J84" s="81">
        <f t="shared" si="9"/>
        <v>118.79112385269831</v>
      </c>
      <c r="K84" s="81">
        <f t="shared" si="10"/>
        <v>50.002053036783579</v>
      </c>
    </row>
    <row r="85" spans="2:13" x14ac:dyDescent="0.25">
      <c r="B85" s="11"/>
      <c r="C85" s="19"/>
      <c r="D85" s="11"/>
      <c r="E85" s="11">
        <v>3236</v>
      </c>
      <c r="F85" s="28" t="s">
        <v>98</v>
      </c>
      <c r="G85" s="79">
        <v>0</v>
      </c>
      <c r="H85" s="8">
        <v>0</v>
      </c>
      <c r="I85" s="82">
        <f>540.42-479.28</f>
        <v>61.139999999999986</v>
      </c>
      <c r="J85" s="83" t="s">
        <v>116</v>
      </c>
      <c r="K85" s="83" t="s">
        <v>116</v>
      </c>
    </row>
    <row r="86" spans="2:13" x14ac:dyDescent="0.25">
      <c r="B86" s="11"/>
      <c r="C86" s="19"/>
      <c r="D86" s="11"/>
      <c r="E86" s="11">
        <v>3237</v>
      </c>
      <c r="F86" s="28" t="s">
        <v>115</v>
      </c>
      <c r="G86" s="79">
        <v>15376.37</v>
      </c>
      <c r="H86" s="8">
        <f>19240+10940</f>
        <v>30180</v>
      </c>
      <c r="I86" s="82">
        <v>27309.41</v>
      </c>
      <c r="J86" s="81">
        <f t="shared" si="9"/>
        <v>177.60635312495731</v>
      </c>
      <c r="K86" s="81">
        <f t="shared" ref="K86:K100" si="11">I86/H86*100</f>
        <v>90.488436050364484</v>
      </c>
    </row>
    <row r="87" spans="2:13" x14ac:dyDescent="0.25">
      <c r="B87" s="11"/>
      <c r="C87" s="19"/>
      <c r="D87" s="11"/>
      <c r="E87" s="11">
        <v>3238</v>
      </c>
      <c r="F87" s="28" t="s">
        <v>99</v>
      </c>
      <c r="G87" s="79">
        <f>504.25+2171.73-1280.21</f>
        <v>1395.77</v>
      </c>
      <c r="H87" s="8">
        <f>530+1530</f>
        <v>2060</v>
      </c>
      <c r="I87" s="82">
        <f>2476.8-579.1</f>
        <v>1897.7000000000003</v>
      </c>
      <c r="J87" s="81">
        <f t="shared" si="9"/>
        <v>135.96079583312439</v>
      </c>
      <c r="K87" s="81">
        <f t="shared" si="11"/>
        <v>92.121359223300985</v>
      </c>
    </row>
    <row r="88" spans="2:13" x14ac:dyDescent="0.25">
      <c r="B88" s="11"/>
      <c r="C88" s="19"/>
      <c r="D88" s="11"/>
      <c r="E88" s="11">
        <v>3239</v>
      </c>
      <c r="F88" s="28" t="s">
        <v>100</v>
      </c>
      <c r="G88" s="79">
        <f>2799.41-835.75</f>
        <v>1963.6599999999999</v>
      </c>
      <c r="H88" s="8">
        <v>5520</v>
      </c>
      <c r="I88" s="82">
        <f>3494.4-2658.99</f>
        <v>835.41000000000031</v>
      </c>
      <c r="J88" s="81">
        <f t="shared" si="9"/>
        <v>42.543515679903869</v>
      </c>
      <c r="K88" s="81">
        <f t="shared" si="11"/>
        <v>15.134239130434787</v>
      </c>
    </row>
    <row r="89" spans="2:13" x14ac:dyDescent="0.25">
      <c r="B89" s="11"/>
      <c r="C89" s="11"/>
      <c r="D89" s="11">
        <v>324</v>
      </c>
      <c r="E89" s="11"/>
      <c r="F89" s="11" t="s">
        <v>195</v>
      </c>
      <c r="G89" s="79">
        <f>G90</f>
        <v>55616.71</v>
      </c>
      <c r="H89" s="8">
        <f>H90</f>
        <v>35000</v>
      </c>
      <c r="I89" s="82">
        <f>I90</f>
        <v>24881.9</v>
      </c>
      <c r="J89" s="81">
        <f t="shared" si="9"/>
        <v>44.738173113799796</v>
      </c>
      <c r="K89" s="81">
        <f t="shared" si="11"/>
        <v>71.09114285714287</v>
      </c>
    </row>
    <row r="90" spans="2:13" x14ac:dyDescent="0.25">
      <c r="B90" s="11"/>
      <c r="C90" s="19"/>
      <c r="D90" s="11"/>
      <c r="E90" s="11">
        <v>3241</v>
      </c>
      <c r="F90" s="28" t="s">
        <v>195</v>
      </c>
      <c r="G90" s="79">
        <v>55616.71</v>
      </c>
      <c r="H90" s="8">
        <v>35000</v>
      </c>
      <c r="I90" s="82">
        <v>24881.9</v>
      </c>
      <c r="J90" s="81">
        <f t="shared" si="9"/>
        <v>44.738173113799796</v>
      </c>
      <c r="K90" s="81">
        <f t="shared" si="11"/>
        <v>71.09114285714287</v>
      </c>
    </row>
    <row r="91" spans="2:13" x14ac:dyDescent="0.25">
      <c r="B91" s="11"/>
      <c r="C91" s="11"/>
      <c r="D91" s="11">
        <v>329</v>
      </c>
      <c r="E91" s="11"/>
      <c r="F91" s="11" t="s">
        <v>104</v>
      </c>
      <c r="G91" s="79">
        <f>SUM(G92:G97)</f>
        <v>8153.71</v>
      </c>
      <c r="H91" s="8">
        <f>SUM(H92:H97)</f>
        <v>11260</v>
      </c>
      <c r="I91" s="82">
        <f>SUM(I92:I97)</f>
        <v>3396.6400000000003</v>
      </c>
      <c r="J91" s="81">
        <f t="shared" si="9"/>
        <v>41.657601263719215</v>
      </c>
      <c r="K91" s="81">
        <f t="shared" si="11"/>
        <v>30.165541740674957</v>
      </c>
    </row>
    <row r="92" spans="2:13" x14ac:dyDescent="0.25">
      <c r="B92" s="11"/>
      <c r="C92" s="19"/>
      <c r="D92" s="11"/>
      <c r="E92" s="11">
        <v>3292</v>
      </c>
      <c r="F92" s="28" t="s">
        <v>101</v>
      </c>
      <c r="G92" s="79">
        <f>4607.18-1856.53</f>
        <v>2750.6500000000005</v>
      </c>
      <c r="H92" s="8">
        <f>4510+1000</f>
        <v>5510</v>
      </c>
      <c r="I92" s="82">
        <f>3327.6-1520.32</f>
        <v>1807.28</v>
      </c>
      <c r="J92" s="81">
        <f t="shared" si="9"/>
        <v>65.703742751713207</v>
      </c>
      <c r="K92" s="81">
        <f t="shared" si="11"/>
        <v>32.800000000000004</v>
      </c>
    </row>
    <row r="93" spans="2:13" x14ac:dyDescent="0.25">
      <c r="B93" s="11"/>
      <c r="C93" s="19"/>
      <c r="D93" s="11"/>
      <c r="E93" s="11">
        <v>3293</v>
      </c>
      <c r="F93" s="28" t="s">
        <v>102</v>
      </c>
      <c r="G93" s="79">
        <f>3415.83-409.3</f>
        <v>3006.5299999999997</v>
      </c>
      <c r="H93" s="8">
        <v>3330</v>
      </c>
      <c r="I93" s="82">
        <f>1345.16-17.89</f>
        <v>1327.27</v>
      </c>
      <c r="J93" s="81">
        <f t="shared" si="9"/>
        <v>44.146241680608547</v>
      </c>
      <c r="K93" s="81">
        <f t="shared" si="11"/>
        <v>39.857957957957957</v>
      </c>
    </row>
    <row r="94" spans="2:13" x14ac:dyDescent="0.25">
      <c r="B94" s="11"/>
      <c r="C94" s="19"/>
      <c r="D94" s="11"/>
      <c r="E94" s="11">
        <v>3294</v>
      </c>
      <c r="F94" s="28" t="s">
        <v>196</v>
      </c>
      <c r="G94" s="79">
        <f>675.97-63.27</f>
        <v>612.70000000000005</v>
      </c>
      <c r="H94" s="8">
        <v>660</v>
      </c>
      <c r="I94" s="82">
        <f>576.14-50-119.46-144.59</f>
        <v>262.09000000000003</v>
      </c>
      <c r="J94" s="81">
        <f t="shared" si="9"/>
        <v>42.77623633099396</v>
      </c>
      <c r="K94" s="81">
        <f t="shared" si="11"/>
        <v>39.710606060606061</v>
      </c>
    </row>
    <row r="95" spans="2:13" x14ac:dyDescent="0.25">
      <c r="B95" s="11"/>
      <c r="C95" s="19"/>
      <c r="D95" s="11"/>
      <c r="E95" s="11">
        <v>3295</v>
      </c>
      <c r="F95" s="28" t="s">
        <v>103</v>
      </c>
      <c r="G95" s="79">
        <v>521.4</v>
      </c>
      <c r="H95" s="8">
        <v>100</v>
      </c>
      <c r="I95" s="82">
        <v>0</v>
      </c>
      <c r="J95" s="81">
        <f t="shared" si="9"/>
        <v>0</v>
      </c>
      <c r="K95" s="81">
        <f t="shared" si="11"/>
        <v>0</v>
      </c>
    </row>
    <row r="96" spans="2:13" x14ac:dyDescent="0.25">
      <c r="B96" s="11"/>
      <c r="C96" s="19"/>
      <c r="D96" s="11"/>
      <c r="E96" s="11">
        <v>3296</v>
      </c>
      <c r="F96" s="28" t="s">
        <v>197</v>
      </c>
      <c r="G96" s="79">
        <v>352.54</v>
      </c>
      <c r="H96" s="8">
        <v>0</v>
      </c>
      <c r="I96" s="82">
        <v>0</v>
      </c>
      <c r="J96" s="81">
        <f t="shared" si="9"/>
        <v>0</v>
      </c>
      <c r="K96" s="83" t="s">
        <v>116</v>
      </c>
    </row>
    <row r="97" spans="2:11" x14ac:dyDescent="0.25">
      <c r="B97" s="11"/>
      <c r="C97" s="19"/>
      <c r="D97" s="11"/>
      <c r="E97" s="11">
        <v>3299</v>
      </c>
      <c r="F97" s="28" t="s">
        <v>104</v>
      </c>
      <c r="G97" s="79">
        <f>1358.52-448.63</f>
        <v>909.89</v>
      </c>
      <c r="H97" s="8">
        <v>1660</v>
      </c>
      <c r="I97" s="82">
        <v>0</v>
      </c>
      <c r="J97" s="81">
        <f t="shared" si="9"/>
        <v>0</v>
      </c>
      <c r="K97" s="81">
        <f t="shared" si="11"/>
        <v>0</v>
      </c>
    </row>
    <row r="98" spans="2:11" x14ac:dyDescent="0.25">
      <c r="B98" s="11"/>
      <c r="C98" s="11">
        <v>34</v>
      </c>
      <c r="D98" s="12"/>
      <c r="E98" s="12"/>
      <c r="F98" s="11" t="s">
        <v>107</v>
      </c>
      <c r="G98" s="79">
        <f>G99</f>
        <v>1084.7400000000002</v>
      </c>
      <c r="H98" s="8">
        <f>H99</f>
        <v>1060</v>
      </c>
      <c r="I98" s="82">
        <f>I99</f>
        <v>879.06000000000006</v>
      </c>
      <c r="J98" s="81">
        <f t="shared" si="9"/>
        <v>81.038774268488282</v>
      </c>
      <c r="K98" s="81">
        <f t="shared" si="11"/>
        <v>82.93018867924529</v>
      </c>
    </row>
    <row r="99" spans="2:11" x14ac:dyDescent="0.25">
      <c r="B99" s="11"/>
      <c r="C99" s="11"/>
      <c r="D99" s="11">
        <v>343</v>
      </c>
      <c r="E99" s="11"/>
      <c r="F99" s="11" t="s">
        <v>108</v>
      </c>
      <c r="G99" s="79">
        <f>SUM(G100:G102)</f>
        <v>1084.7400000000002</v>
      </c>
      <c r="H99" s="8">
        <f>SUM(H100:H102)</f>
        <v>1060</v>
      </c>
      <c r="I99" s="82">
        <f>SUM(I100:I102)</f>
        <v>879.06000000000006</v>
      </c>
      <c r="J99" s="81">
        <f t="shared" si="9"/>
        <v>81.038774268488282</v>
      </c>
      <c r="K99" s="81">
        <f t="shared" si="11"/>
        <v>82.93018867924529</v>
      </c>
    </row>
    <row r="100" spans="2:11" x14ac:dyDescent="0.25">
      <c r="B100" s="11"/>
      <c r="C100" s="19"/>
      <c r="D100" s="11"/>
      <c r="E100" s="11">
        <v>3431</v>
      </c>
      <c r="F100" s="28" t="s">
        <v>109</v>
      </c>
      <c r="G100" s="79">
        <f>268.99+923.85-352.35</f>
        <v>840.49000000000012</v>
      </c>
      <c r="H100" s="8">
        <f>530+530</f>
        <v>1060</v>
      </c>
      <c r="I100" s="82">
        <f>1191.2-313.64</f>
        <v>877.56000000000006</v>
      </c>
      <c r="J100" s="81">
        <f t="shared" si="9"/>
        <v>104.41052243334245</v>
      </c>
      <c r="K100" s="81">
        <f t="shared" si="11"/>
        <v>82.788679245283021</v>
      </c>
    </row>
    <row r="101" spans="2:11" ht="25.5" x14ac:dyDescent="0.25">
      <c r="B101" s="11"/>
      <c r="C101" s="19"/>
      <c r="D101" s="11"/>
      <c r="E101" s="11">
        <v>3432</v>
      </c>
      <c r="F101" s="28" t="s">
        <v>198</v>
      </c>
      <c r="G101" s="79">
        <v>0</v>
      </c>
      <c r="H101" s="8">
        <v>0</v>
      </c>
      <c r="I101" s="82">
        <v>0</v>
      </c>
      <c r="J101" s="83" t="s">
        <v>116</v>
      </c>
      <c r="K101" s="83" t="s">
        <v>116</v>
      </c>
    </row>
    <row r="102" spans="2:11" x14ac:dyDescent="0.25">
      <c r="B102" s="11"/>
      <c r="C102" s="19"/>
      <c r="D102" s="11"/>
      <c r="E102" s="11">
        <v>3433</v>
      </c>
      <c r="F102" s="28" t="s">
        <v>199</v>
      </c>
      <c r="G102" s="79">
        <v>244.25</v>
      </c>
      <c r="H102" s="8"/>
      <c r="I102" s="82">
        <v>1.5</v>
      </c>
      <c r="J102" s="81">
        <f t="shared" si="9"/>
        <v>0.61412487205731825</v>
      </c>
      <c r="K102" s="83" t="s">
        <v>116</v>
      </c>
    </row>
    <row r="103" spans="2:11" x14ac:dyDescent="0.25">
      <c r="B103" s="11"/>
      <c r="C103" s="11">
        <v>38</v>
      </c>
      <c r="D103" s="12"/>
      <c r="E103" s="12"/>
      <c r="F103" s="11" t="s">
        <v>172</v>
      </c>
      <c r="G103" s="79">
        <f t="shared" ref="G103:I104" si="12">G104</f>
        <v>1044.1199999999999</v>
      </c>
      <c r="H103" s="8">
        <f t="shared" si="12"/>
        <v>0</v>
      </c>
      <c r="I103" s="82">
        <f t="shared" si="12"/>
        <v>1044.1199999999999</v>
      </c>
      <c r="J103" s="83" t="s">
        <v>116</v>
      </c>
      <c r="K103" s="83" t="s">
        <v>116</v>
      </c>
    </row>
    <row r="104" spans="2:11" x14ac:dyDescent="0.25">
      <c r="B104" s="11"/>
      <c r="C104" s="11"/>
      <c r="D104" s="11">
        <v>381</v>
      </c>
      <c r="E104" s="11"/>
      <c r="F104" s="11" t="s">
        <v>173</v>
      </c>
      <c r="G104" s="79">
        <f t="shared" si="12"/>
        <v>1044.1199999999999</v>
      </c>
      <c r="H104" s="8">
        <f t="shared" si="12"/>
        <v>0</v>
      </c>
      <c r="I104" s="82">
        <f t="shared" si="12"/>
        <v>1044.1199999999999</v>
      </c>
      <c r="J104" s="83" t="s">
        <v>116</v>
      </c>
      <c r="K104" s="83" t="s">
        <v>116</v>
      </c>
    </row>
    <row r="105" spans="2:11" x14ac:dyDescent="0.25">
      <c r="B105" s="11"/>
      <c r="C105" s="19"/>
      <c r="D105" s="11"/>
      <c r="E105" s="11">
        <v>3812</v>
      </c>
      <c r="F105" s="28" t="s">
        <v>213</v>
      </c>
      <c r="G105" s="79">
        <v>1044.1199999999999</v>
      </c>
      <c r="H105" s="8"/>
      <c r="I105" s="82">
        <v>1044.1199999999999</v>
      </c>
      <c r="J105" s="83" t="s">
        <v>116</v>
      </c>
      <c r="K105" s="83" t="s">
        <v>116</v>
      </c>
    </row>
    <row r="106" spans="2:11" s="56" customFormat="1" x14ac:dyDescent="0.25">
      <c r="B106" s="13">
        <v>4</v>
      </c>
      <c r="C106" s="13"/>
      <c r="D106" s="13"/>
      <c r="E106" s="13"/>
      <c r="F106" s="17" t="s">
        <v>6</v>
      </c>
      <c r="G106" s="77">
        <f>G107+G110</f>
        <v>44721.100000000006</v>
      </c>
      <c r="H106" s="60">
        <f>H107+H110</f>
        <v>12700</v>
      </c>
      <c r="I106" s="81">
        <f>I107+I110</f>
        <v>882.49</v>
      </c>
      <c r="J106" s="81">
        <f t="shared" ref="J106:J115" si="13">I106/G106*100</f>
        <v>1.973319082044046</v>
      </c>
      <c r="K106" s="81">
        <f t="shared" ref="K106:K113" si="14">I106/H106*100</f>
        <v>6.9487401574803158</v>
      </c>
    </row>
    <row r="107" spans="2:11" ht="29.25" customHeight="1" x14ac:dyDescent="0.25">
      <c r="B107" s="14"/>
      <c r="C107" s="14">
        <v>41</v>
      </c>
      <c r="D107" s="14"/>
      <c r="E107" s="14"/>
      <c r="F107" s="18" t="s">
        <v>7</v>
      </c>
      <c r="G107" s="79">
        <f t="shared" ref="G107:I108" si="15">G108</f>
        <v>338.06</v>
      </c>
      <c r="H107" s="8">
        <f t="shared" si="15"/>
        <v>0</v>
      </c>
      <c r="I107" s="82">
        <f t="shared" si="15"/>
        <v>110.06</v>
      </c>
      <c r="J107" s="81">
        <f t="shared" si="13"/>
        <v>32.556350943619478</v>
      </c>
      <c r="K107" s="83" t="s">
        <v>116</v>
      </c>
    </row>
    <row r="108" spans="2:11" x14ac:dyDescent="0.25">
      <c r="B108" s="14"/>
      <c r="C108" s="14"/>
      <c r="D108" s="11">
        <v>412</v>
      </c>
      <c r="E108" s="11"/>
      <c r="F108" s="11" t="s">
        <v>200</v>
      </c>
      <c r="G108" s="79">
        <f t="shared" si="15"/>
        <v>338.06</v>
      </c>
      <c r="H108" s="8">
        <f t="shared" si="15"/>
        <v>0</v>
      </c>
      <c r="I108" s="82">
        <f t="shared" si="15"/>
        <v>110.06</v>
      </c>
      <c r="J108" s="81">
        <f t="shared" si="13"/>
        <v>32.556350943619478</v>
      </c>
      <c r="K108" s="83" t="s">
        <v>116</v>
      </c>
    </row>
    <row r="109" spans="2:11" x14ac:dyDescent="0.25">
      <c r="B109" s="14"/>
      <c r="C109" s="14"/>
      <c r="D109" s="11"/>
      <c r="E109" s="11">
        <v>4123</v>
      </c>
      <c r="F109" s="11" t="s">
        <v>160</v>
      </c>
      <c r="G109" s="79">
        <v>338.06</v>
      </c>
      <c r="H109" s="8"/>
      <c r="I109" s="82">
        <v>110.06</v>
      </c>
      <c r="J109" s="81">
        <f t="shared" si="13"/>
        <v>32.556350943619478</v>
      </c>
      <c r="K109" s="83" t="s">
        <v>116</v>
      </c>
    </row>
    <row r="110" spans="2:11" ht="30" customHeight="1" x14ac:dyDescent="0.25">
      <c r="B110" s="14"/>
      <c r="C110" s="14">
        <v>42</v>
      </c>
      <c r="D110" s="14"/>
      <c r="E110" s="14"/>
      <c r="F110" s="18" t="s">
        <v>110</v>
      </c>
      <c r="G110" s="79">
        <f>G111+G113+G116+G118</f>
        <v>44383.040000000008</v>
      </c>
      <c r="H110" s="8">
        <f>H111+H113+H116+H118</f>
        <v>12700</v>
      </c>
      <c r="I110" s="82">
        <f>I111+I113+I116+I118</f>
        <v>772.43000000000006</v>
      </c>
      <c r="J110" s="81">
        <f t="shared" si="13"/>
        <v>1.7403719979523706</v>
      </c>
      <c r="K110" s="81">
        <f t="shared" si="14"/>
        <v>6.0821259842519693</v>
      </c>
    </row>
    <row r="111" spans="2:11" x14ac:dyDescent="0.25">
      <c r="B111" s="14"/>
      <c r="C111" s="14"/>
      <c r="D111" s="11">
        <v>421</v>
      </c>
      <c r="E111" s="11"/>
      <c r="F111" s="11" t="s">
        <v>162</v>
      </c>
      <c r="G111" s="79">
        <f>G112</f>
        <v>43444.76</v>
      </c>
      <c r="H111" s="8">
        <f>H112</f>
        <v>0</v>
      </c>
      <c r="I111" s="82">
        <f>I112</f>
        <v>0</v>
      </c>
      <c r="J111" s="81">
        <f t="shared" si="13"/>
        <v>0</v>
      </c>
      <c r="K111" s="83" t="s">
        <v>116</v>
      </c>
    </row>
    <row r="112" spans="2:11" x14ac:dyDescent="0.25">
      <c r="B112" s="14"/>
      <c r="C112" s="14"/>
      <c r="D112" s="11"/>
      <c r="E112" s="11">
        <v>4212</v>
      </c>
      <c r="F112" s="11" t="s">
        <v>201</v>
      </c>
      <c r="G112" s="79">
        <v>43444.76</v>
      </c>
      <c r="H112" s="8"/>
      <c r="I112" s="82"/>
      <c r="J112" s="81">
        <f t="shared" si="13"/>
        <v>0</v>
      </c>
      <c r="K112" s="83" t="s">
        <v>116</v>
      </c>
    </row>
    <row r="113" spans="2:13" x14ac:dyDescent="0.25">
      <c r="B113" s="14"/>
      <c r="C113" s="14"/>
      <c r="D113" s="11">
        <v>422</v>
      </c>
      <c r="E113" s="11"/>
      <c r="F113" s="11" t="s">
        <v>111</v>
      </c>
      <c r="G113" s="79">
        <f>G114+G115</f>
        <v>471.41</v>
      </c>
      <c r="H113" s="8">
        <f>H114+H115</f>
        <v>12700</v>
      </c>
      <c r="I113" s="82">
        <f>I114+I115</f>
        <v>772.43000000000006</v>
      </c>
      <c r="J113" s="81">
        <f t="shared" si="13"/>
        <v>163.85524278229141</v>
      </c>
      <c r="K113" s="81">
        <f t="shared" si="14"/>
        <v>6.0821259842519693</v>
      </c>
    </row>
    <row r="114" spans="2:13" x14ac:dyDescent="0.25">
      <c r="B114" s="14"/>
      <c r="C114" s="14"/>
      <c r="D114" s="11"/>
      <c r="E114" s="11">
        <v>4221</v>
      </c>
      <c r="F114" s="11" t="s">
        <v>202</v>
      </c>
      <c r="G114" s="79">
        <v>0</v>
      </c>
      <c r="H114" s="8">
        <v>0</v>
      </c>
      <c r="I114" s="82">
        <v>299.93</v>
      </c>
      <c r="J114" s="83" t="s">
        <v>116</v>
      </c>
      <c r="K114" s="83" t="s">
        <v>116</v>
      </c>
    </row>
    <row r="115" spans="2:13" x14ac:dyDescent="0.25">
      <c r="B115" s="14"/>
      <c r="C115" s="14"/>
      <c r="D115" s="11"/>
      <c r="E115" s="11">
        <v>4227</v>
      </c>
      <c r="F115" s="11" t="s">
        <v>112</v>
      </c>
      <c r="G115" s="79">
        <f>643.72-172.31</f>
        <v>471.41</v>
      </c>
      <c r="H115" s="8">
        <v>12700</v>
      </c>
      <c r="I115" s="82">
        <f>2658.37-2185.87</f>
        <v>472.5</v>
      </c>
      <c r="J115" s="81">
        <f t="shared" si="13"/>
        <v>100.23122122992723</v>
      </c>
      <c r="K115" s="81">
        <f>I115/H115*100</f>
        <v>3.7204724409448815</v>
      </c>
      <c r="M115" s="68"/>
    </row>
    <row r="116" spans="2:13" x14ac:dyDescent="0.25">
      <c r="B116" s="14"/>
      <c r="C116" s="14"/>
      <c r="D116" s="11">
        <v>424</v>
      </c>
      <c r="E116" s="11"/>
      <c r="F116" s="11" t="s">
        <v>203</v>
      </c>
      <c r="G116" s="79">
        <f>G117</f>
        <v>0</v>
      </c>
      <c r="H116" s="8">
        <f>H117</f>
        <v>0</v>
      </c>
      <c r="I116" s="82">
        <v>0</v>
      </c>
      <c r="J116" s="83" t="s">
        <v>116</v>
      </c>
      <c r="K116" s="83" t="s">
        <v>116</v>
      </c>
    </row>
    <row r="117" spans="2:13" x14ac:dyDescent="0.25">
      <c r="B117" s="14"/>
      <c r="C117" s="14"/>
      <c r="D117" s="11"/>
      <c r="E117" s="11">
        <v>4241</v>
      </c>
      <c r="F117" s="11" t="s">
        <v>163</v>
      </c>
      <c r="G117" s="79">
        <v>0</v>
      </c>
      <c r="H117" s="8">
        <v>0</v>
      </c>
      <c r="I117" s="82">
        <v>0</v>
      </c>
      <c r="J117" s="83" t="s">
        <v>116</v>
      </c>
      <c r="K117" s="83" t="s">
        <v>116</v>
      </c>
      <c r="M117" s="68"/>
    </row>
    <row r="118" spans="2:13" x14ac:dyDescent="0.25">
      <c r="B118" s="14"/>
      <c r="C118" s="14"/>
      <c r="D118" s="11">
        <v>426</v>
      </c>
      <c r="E118" s="11"/>
      <c r="F118" s="11" t="s">
        <v>113</v>
      </c>
      <c r="G118" s="79">
        <f>G119</f>
        <v>466.87</v>
      </c>
      <c r="H118" s="8">
        <f>H119</f>
        <v>0</v>
      </c>
      <c r="I118" s="82">
        <f>I119</f>
        <v>0</v>
      </c>
      <c r="J118" s="83" t="s">
        <v>116</v>
      </c>
      <c r="K118" s="83" t="s">
        <v>116</v>
      </c>
    </row>
    <row r="119" spans="2:13" x14ac:dyDescent="0.25">
      <c r="B119" s="14"/>
      <c r="C119" s="14"/>
      <c r="D119" s="11"/>
      <c r="E119" s="11">
        <v>4262</v>
      </c>
      <c r="F119" s="11" t="s">
        <v>114</v>
      </c>
      <c r="G119" s="79">
        <f>933.75-466.88</f>
        <v>466.87</v>
      </c>
      <c r="H119" s="8">
        <v>0</v>
      </c>
      <c r="I119" s="82">
        <v>0</v>
      </c>
      <c r="J119" s="83" t="s">
        <v>116</v>
      </c>
      <c r="K119" s="83" t="s">
        <v>116</v>
      </c>
    </row>
    <row r="122" spans="2:13" ht="15" customHeight="1" x14ac:dyDescent="0.25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3" x14ac:dyDescent="0.25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3" ht="4.5" customHeight="1" x14ac:dyDescent="0.25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</sheetData>
  <mergeCells count="9">
    <mergeCell ref="B50:F50"/>
    <mergeCell ref="B53:F53"/>
    <mergeCell ref="B54:F54"/>
    <mergeCell ref="B1:F1"/>
    <mergeCell ref="B2:K2"/>
    <mergeCell ref="B4:K4"/>
    <mergeCell ref="B6:K6"/>
    <mergeCell ref="B8:F8"/>
    <mergeCell ref="B9:F9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workbookViewId="0">
      <selection activeCell="I12" sqref="I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1" width="15.7109375" customWidth="1"/>
  </cols>
  <sheetData>
    <row r="1" spans="2:11" ht="18" x14ac:dyDescent="0.25">
      <c r="B1" s="158" t="s">
        <v>75</v>
      </c>
      <c r="C1" s="158"/>
      <c r="D1" s="158"/>
      <c r="E1" s="158"/>
      <c r="F1" s="158"/>
      <c r="G1" s="3"/>
      <c r="H1" s="3"/>
      <c r="I1" s="3"/>
      <c r="J1" s="3"/>
      <c r="K1" s="3"/>
    </row>
    <row r="2" spans="2:11" ht="15.75" customHeight="1" x14ac:dyDescent="0.25">
      <c r="B2" s="120" t="s">
        <v>12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11" ht="18" x14ac:dyDescent="0.25">
      <c r="B3" s="3"/>
      <c r="C3" s="3"/>
      <c r="D3" s="3"/>
      <c r="E3" s="3"/>
      <c r="F3" s="3"/>
      <c r="G3" s="3"/>
      <c r="H3" s="3"/>
      <c r="I3" s="4"/>
      <c r="J3" s="4"/>
      <c r="K3" s="4"/>
    </row>
    <row r="4" spans="2:11" ht="15.75" customHeight="1" x14ac:dyDescent="0.25">
      <c r="B4" s="120" t="s">
        <v>66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2:11" ht="18" x14ac:dyDescent="0.25">
      <c r="B5" s="3"/>
      <c r="C5" s="3"/>
      <c r="D5" s="3"/>
      <c r="E5" s="3"/>
      <c r="F5" s="3"/>
      <c r="G5" s="3"/>
      <c r="H5" s="3"/>
      <c r="I5" s="4"/>
      <c r="J5" s="4"/>
      <c r="K5" s="4"/>
    </row>
    <row r="6" spans="2:11" ht="15.75" customHeight="1" x14ac:dyDescent="0.25">
      <c r="B6" s="120" t="s">
        <v>47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2:11" ht="18" x14ac:dyDescent="0.25">
      <c r="B7" s="3"/>
      <c r="C7" s="3"/>
      <c r="D7" s="3"/>
      <c r="E7" s="3"/>
      <c r="F7" s="3"/>
      <c r="G7" s="3"/>
      <c r="H7" s="3"/>
      <c r="I7" s="4"/>
      <c r="J7" s="4"/>
      <c r="K7" s="4"/>
    </row>
    <row r="8" spans="2:11" ht="45" customHeight="1" x14ac:dyDescent="0.25">
      <c r="B8" s="152" t="s">
        <v>8</v>
      </c>
      <c r="C8" s="153"/>
      <c r="D8" s="153"/>
      <c r="E8" s="153"/>
      <c r="F8" s="154"/>
      <c r="G8" s="39" t="s">
        <v>233</v>
      </c>
      <c r="H8" s="39" t="s">
        <v>231</v>
      </c>
      <c r="I8" s="39" t="s">
        <v>234</v>
      </c>
      <c r="J8" s="39" t="s">
        <v>30</v>
      </c>
      <c r="K8" s="39" t="s">
        <v>62</v>
      </c>
    </row>
    <row r="9" spans="2:11" x14ac:dyDescent="0.25">
      <c r="B9" s="155">
        <v>1</v>
      </c>
      <c r="C9" s="156"/>
      <c r="D9" s="156"/>
      <c r="E9" s="156"/>
      <c r="F9" s="157"/>
      <c r="G9" s="42">
        <v>2</v>
      </c>
      <c r="H9" s="42">
        <v>3</v>
      </c>
      <c r="I9" s="42">
        <v>4</v>
      </c>
      <c r="J9" s="42" t="s">
        <v>124</v>
      </c>
      <c r="K9" s="42" t="s">
        <v>176</v>
      </c>
    </row>
    <row r="10" spans="2:11" x14ac:dyDescent="0.25">
      <c r="B10" s="10"/>
      <c r="C10" s="10"/>
      <c r="D10" s="10"/>
      <c r="E10" s="10"/>
      <c r="F10" s="10" t="s">
        <v>60</v>
      </c>
      <c r="G10" s="77">
        <f>G11</f>
        <v>116840.38</v>
      </c>
      <c r="H10" s="60">
        <f>H11</f>
        <v>190560.9</v>
      </c>
      <c r="I10" s="81">
        <f>I11</f>
        <v>124322.16</v>
      </c>
      <c r="J10" s="81">
        <f t="shared" ref="J10:J31" si="0">I10/G10*100</f>
        <v>106.40341977662176</v>
      </c>
      <c r="K10" s="81">
        <f t="shared" ref="K10:K31" si="1">I10/H10*100</f>
        <v>65.24012008759405</v>
      </c>
    </row>
    <row r="11" spans="2:11" x14ac:dyDescent="0.25">
      <c r="B11" s="10">
        <v>6</v>
      </c>
      <c r="C11" s="10"/>
      <c r="D11" s="10"/>
      <c r="E11" s="10"/>
      <c r="F11" s="10" t="s">
        <v>3</v>
      </c>
      <c r="G11" s="78">
        <f>G18+G21+G24</f>
        <v>116840.38</v>
      </c>
      <c r="H11" s="58">
        <f>H18+H21+H24</f>
        <v>190560.9</v>
      </c>
      <c r="I11" s="78">
        <f>I18+I21+I24+I12+I15</f>
        <v>124322.16</v>
      </c>
      <c r="J11" s="81">
        <f t="shared" si="0"/>
        <v>106.40341977662176</v>
      </c>
      <c r="K11" s="81">
        <f t="shared" si="1"/>
        <v>65.24012008759405</v>
      </c>
    </row>
    <row r="12" spans="2:11" ht="25.5" x14ac:dyDescent="0.25">
      <c r="B12" s="10"/>
      <c r="C12" s="14">
        <v>63</v>
      </c>
      <c r="D12" s="14"/>
      <c r="E12" s="14"/>
      <c r="F12" s="14" t="s">
        <v>135</v>
      </c>
      <c r="G12" s="79">
        <f>G13</f>
        <v>0</v>
      </c>
      <c r="H12" s="8">
        <f>H13</f>
        <v>0</v>
      </c>
      <c r="I12" s="82">
        <f>I13</f>
        <v>0</v>
      </c>
      <c r="J12" s="83" t="s">
        <v>116</v>
      </c>
      <c r="K12" s="83" t="s">
        <v>116</v>
      </c>
    </row>
    <row r="13" spans="2:11" ht="30" customHeight="1" x14ac:dyDescent="0.25">
      <c r="B13" s="11"/>
      <c r="C13" s="11"/>
      <c r="D13" s="11" t="s">
        <v>177</v>
      </c>
      <c r="E13" s="11"/>
      <c r="F13" s="28" t="s">
        <v>178</v>
      </c>
      <c r="G13" s="79"/>
      <c r="H13" s="8"/>
      <c r="I13" s="82">
        <f>I14</f>
        <v>0</v>
      </c>
      <c r="J13" s="83" t="s">
        <v>116</v>
      </c>
      <c r="K13" s="83" t="s">
        <v>116</v>
      </c>
    </row>
    <row r="14" spans="2:11" ht="30" customHeight="1" x14ac:dyDescent="0.25">
      <c r="B14" s="11"/>
      <c r="C14" s="11"/>
      <c r="D14" s="11"/>
      <c r="E14" s="11" t="s">
        <v>218</v>
      </c>
      <c r="F14" s="28" t="s">
        <v>219</v>
      </c>
      <c r="G14" s="79"/>
      <c r="H14" s="8"/>
      <c r="I14" s="82"/>
      <c r="J14" s="83" t="s">
        <v>116</v>
      </c>
      <c r="K14" s="83" t="s">
        <v>116</v>
      </c>
    </row>
    <row r="15" spans="2:11" x14ac:dyDescent="0.25">
      <c r="B15" s="10"/>
      <c r="C15" s="14">
        <v>64</v>
      </c>
      <c r="D15" s="14"/>
      <c r="E15" s="14"/>
      <c r="F15" s="14" t="s">
        <v>136</v>
      </c>
      <c r="G15" s="79">
        <f>G16</f>
        <v>0</v>
      </c>
      <c r="H15" s="8">
        <f>H16</f>
        <v>0</v>
      </c>
      <c r="I15" s="82">
        <f>I16</f>
        <v>324.77999999999997</v>
      </c>
      <c r="J15" s="83" t="s">
        <v>116</v>
      </c>
      <c r="K15" s="83" t="s">
        <v>116</v>
      </c>
    </row>
    <row r="16" spans="2:11" x14ac:dyDescent="0.25">
      <c r="B16" s="11"/>
      <c r="C16" s="11"/>
      <c r="D16" s="11" t="s">
        <v>208</v>
      </c>
      <c r="E16" s="11"/>
      <c r="F16" s="11" t="s">
        <v>209</v>
      </c>
      <c r="G16" s="79">
        <f>G17</f>
        <v>0</v>
      </c>
      <c r="H16" s="8">
        <v>0</v>
      </c>
      <c r="I16" s="82">
        <f>I17</f>
        <v>324.77999999999997</v>
      </c>
      <c r="J16" s="83" t="s">
        <v>116</v>
      </c>
      <c r="K16" s="83" t="s">
        <v>116</v>
      </c>
    </row>
    <row r="17" spans="1:11" x14ac:dyDescent="0.25">
      <c r="A17">
        <v>0</v>
      </c>
      <c r="B17" s="11"/>
      <c r="C17" s="11"/>
      <c r="D17" s="11"/>
      <c r="E17" s="11">
        <v>6414</v>
      </c>
      <c r="F17" s="11" t="s">
        <v>241</v>
      </c>
      <c r="G17" s="79">
        <v>0</v>
      </c>
      <c r="H17" s="8">
        <v>0</v>
      </c>
      <c r="I17" s="82">
        <v>324.77999999999997</v>
      </c>
      <c r="J17" s="83" t="s">
        <v>116</v>
      </c>
      <c r="K17" s="83" t="s">
        <v>116</v>
      </c>
    </row>
    <row r="18" spans="1:11" x14ac:dyDescent="0.25">
      <c r="B18" s="10"/>
      <c r="C18" s="14">
        <v>65</v>
      </c>
      <c r="D18" s="14"/>
      <c r="E18" s="14"/>
      <c r="F18" s="14" t="s">
        <v>77</v>
      </c>
      <c r="G18" s="79">
        <f t="shared" ref="G18:I19" si="2">G19</f>
        <v>56321.97</v>
      </c>
      <c r="H18" s="8">
        <f t="shared" si="2"/>
        <v>97000</v>
      </c>
      <c r="I18" s="82">
        <f t="shared" si="2"/>
        <v>60482.57</v>
      </c>
      <c r="J18" s="82">
        <f t="shared" si="0"/>
        <v>107.3871705836994</v>
      </c>
      <c r="K18" s="82">
        <f t="shared" si="1"/>
        <v>62.35316494845361</v>
      </c>
    </row>
    <row r="19" spans="1:11" x14ac:dyDescent="0.25">
      <c r="B19" s="11"/>
      <c r="C19" s="11"/>
      <c r="D19" s="11">
        <v>652</v>
      </c>
      <c r="E19" s="11"/>
      <c r="F19" s="11" t="s">
        <v>77</v>
      </c>
      <c r="G19" s="79">
        <f t="shared" si="2"/>
        <v>56321.97</v>
      </c>
      <c r="H19" s="8">
        <f t="shared" si="2"/>
        <v>97000</v>
      </c>
      <c r="I19" s="82">
        <f t="shared" si="2"/>
        <v>60482.57</v>
      </c>
      <c r="J19" s="82">
        <f t="shared" si="0"/>
        <v>107.3871705836994</v>
      </c>
      <c r="K19" s="82">
        <f t="shared" si="1"/>
        <v>62.35316494845361</v>
      </c>
    </row>
    <row r="20" spans="1:11" x14ac:dyDescent="0.25">
      <c r="B20" s="11"/>
      <c r="C20" s="11"/>
      <c r="D20" s="11"/>
      <c r="E20" s="11">
        <v>6526</v>
      </c>
      <c r="F20" s="11" t="s">
        <v>78</v>
      </c>
      <c r="G20" s="79">
        <v>56321.97</v>
      </c>
      <c r="H20" s="8">
        <v>97000</v>
      </c>
      <c r="I20" s="82">
        <v>60482.57</v>
      </c>
      <c r="J20" s="82">
        <f t="shared" si="0"/>
        <v>107.3871705836994</v>
      </c>
      <c r="K20" s="82">
        <f t="shared" si="1"/>
        <v>62.35316494845361</v>
      </c>
    </row>
    <row r="21" spans="1:11" ht="25.5" x14ac:dyDescent="0.25">
      <c r="B21" s="11"/>
      <c r="C21" s="11">
        <v>66</v>
      </c>
      <c r="D21" s="12"/>
      <c r="E21" s="12"/>
      <c r="F21" s="14" t="s">
        <v>79</v>
      </c>
      <c r="G21" s="79">
        <f t="shared" ref="G21:I22" si="3">G22</f>
        <v>3394.06</v>
      </c>
      <c r="H21" s="8">
        <f t="shared" si="3"/>
        <v>4500</v>
      </c>
      <c r="I21" s="82">
        <f t="shared" si="3"/>
        <v>5090.8900000000003</v>
      </c>
      <c r="J21" s="82">
        <f t="shared" si="0"/>
        <v>149.99410735225661</v>
      </c>
      <c r="K21" s="82">
        <f t="shared" si="1"/>
        <v>113.13088888888889</v>
      </c>
    </row>
    <row r="22" spans="1:11" ht="25.5" x14ac:dyDescent="0.25">
      <c r="B22" s="11"/>
      <c r="C22" s="19"/>
      <c r="D22" s="11">
        <v>661</v>
      </c>
      <c r="E22" s="11"/>
      <c r="F22" s="14" t="s">
        <v>37</v>
      </c>
      <c r="G22" s="79">
        <f t="shared" si="3"/>
        <v>3394.06</v>
      </c>
      <c r="H22" s="8">
        <f t="shared" si="3"/>
        <v>4500</v>
      </c>
      <c r="I22" s="82">
        <v>5090.8900000000003</v>
      </c>
      <c r="J22" s="82">
        <f t="shared" si="0"/>
        <v>149.99410735225661</v>
      </c>
      <c r="K22" s="82">
        <f t="shared" si="1"/>
        <v>113.13088888888889</v>
      </c>
    </row>
    <row r="23" spans="1:11" x14ac:dyDescent="0.25">
      <c r="B23" s="11"/>
      <c r="C23" s="19"/>
      <c r="D23" s="11"/>
      <c r="E23" s="11">
        <v>6615</v>
      </c>
      <c r="F23" s="14" t="s">
        <v>80</v>
      </c>
      <c r="G23" s="79">
        <v>3394.06</v>
      </c>
      <c r="H23" s="8">
        <v>4500</v>
      </c>
      <c r="I23" s="82">
        <v>5090.8900000000003</v>
      </c>
      <c r="J23" s="82">
        <f t="shared" si="0"/>
        <v>149.99410735225661</v>
      </c>
      <c r="K23" s="82">
        <f t="shared" si="1"/>
        <v>113.13088888888889</v>
      </c>
    </row>
    <row r="24" spans="1:11" ht="30.75" customHeight="1" x14ac:dyDescent="0.25">
      <c r="B24" s="11"/>
      <c r="C24" s="11">
        <v>67</v>
      </c>
      <c r="D24" s="12"/>
      <c r="E24" s="12"/>
      <c r="F24" s="28" t="s">
        <v>81</v>
      </c>
      <c r="G24" s="79">
        <f t="shared" ref="G24:I25" si="4">G25</f>
        <v>57124.35</v>
      </c>
      <c r="H24" s="8">
        <f t="shared" si="4"/>
        <v>89060.9</v>
      </c>
      <c r="I24" s="82">
        <f t="shared" si="4"/>
        <v>58423.92</v>
      </c>
      <c r="J24" s="82">
        <f t="shared" si="0"/>
        <v>102.27498431054359</v>
      </c>
      <c r="K24" s="82">
        <f t="shared" si="1"/>
        <v>65.599965866053452</v>
      </c>
    </row>
    <row r="25" spans="1:11" ht="25.5" x14ac:dyDescent="0.25">
      <c r="B25" s="11"/>
      <c r="C25" s="11"/>
      <c r="D25" s="11">
        <v>671</v>
      </c>
      <c r="E25" s="11"/>
      <c r="F25" s="28" t="s">
        <v>82</v>
      </c>
      <c r="G25" s="79">
        <f t="shared" si="4"/>
        <v>57124.35</v>
      </c>
      <c r="H25" s="8">
        <f t="shared" si="4"/>
        <v>89060.9</v>
      </c>
      <c r="I25" s="82">
        <f t="shared" si="4"/>
        <v>58423.92</v>
      </c>
      <c r="J25" s="82">
        <f t="shared" si="0"/>
        <v>102.27498431054359</v>
      </c>
      <c r="K25" s="82">
        <f t="shared" si="1"/>
        <v>65.599965866053452</v>
      </c>
    </row>
    <row r="26" spans="1:11" ht="25.5" x14ac:dyDescent="0.25">
      <c r="B26" s="11"/>
      <c r="C26" s="11"/>
      <c r="D26" s="11"/>
      <c r="E26" s="11">
        <v>6711</v>
      </c>
      <c r="F26" s="28" t="s">
        <v>83</v>
      </c>
      <c r="G26" s="79">
        <v>57124.35</v>
      </c>
      <c r="H26" s="8">
        <v>89060.9</v>
      </c>
      <c r="I26" s="82">
        <f>57765.09+658.83</f>
        <v>58423.92</v>
      </c>
      <c r="J26" s="82">
        <f t="shared" si="0"/>
        <v>102.27498431054359</v>
      </c>
      <c r="K26" s="82">
        <f t="shared" si="1"/>
        <v>65.599965866053452</v>
      </c>
    </row>
    <row r="27" spans="1:11" s="56" customFormat="1" x14ac:dyDescent="0.25">
      <c r="B27" s="19">
        <v>9</v>
      </c>
      <c r="C27" s="19"/>
      <c r="D27" s="19"/>
      <c r="E27" s="19"/>
      <c r="F27" s="66" t="s">
        <v>84</v>
      </c>
      <c r="G27" s="77">
        <f>G28</f>
        <v>52216.02</v>
      </c>
      <c r="H27" s="60">
        <f>H28</f>
        <v>50000</v>
      </c>
      <c r="I27" s="81">
        <f>I28</f>
        <v>77160</v>
      </c>
      <c r="J27" s="81">
        <f t="shared" si="0"/>
        <v>147.77074162297319</v>
      </c>
      <c r="K27" s="81">
        <f t="shared" si="1"/>
        <v>154.32</v>
      </c>
    </row>
    <row r="28" spans="1:11" ht="30.75" customHeight="1" x14ac:dyDescent="0.25">
      <c r="B28" s="11"/>
      <c r="C28" s="11">
        <v>92</v>
      </c>
      <c r="D28" s="12"/>
      <c r="E28" s="12"/>
      <c r="F28" s="28" t="s">
        <v>84</v>
      </c>
      <c r="G28" s="79">
        <f t="shared" ref="G28:I29" si="5">G29</f>
        <v>52216.02</v>
      </c>
      <c r="H28" s="8">
        <f t="shared" si="5"/>
        <v>50000</v>
      </c>
      <c r="I28" s="82">
        <f t="shared" si="5"/>
        <v>77160</v>
      </c>
      <c r="J28" s="82">
        <f t="shared" si="0"/>
        <v>147.77074162297319</v>
      </c>
      <c r="K28" s="82">
        <f t="shared" si="1"/>
        <v>154.32</v>
      </c>
    </row>
    <row r="29" spans="1:11" x14ac:dyDescent="0.25">
      <c r="B29" s="11"/>
      <c r="C29" s="11"/>
      <c r="D29" s="11">
        <v>922</v>
      </c>
      <c r="E29" s="11"/>
      <c r="F29" s="28" t="s">
        <v>84</v>
      </c>
      <c r="G29" s="79">
        <f t="shared" si="5"/>
        <v>52216.02</v>
      </c>
      <c r="H29" s="8">
        <f t="shared" si="5"/>
        <v>50000</v>
      </c>
      <c r="I29" s="82">
        <f t="shared" si="5"/>
        <v>77160</v>
      </c>
      <c r="J29" s="82">
        <f t="shared" si="0"/>
        <v>147.77074162297319</v>
      </c>
      <c r="K29" s="82">
        <f t="shared" si="1"/>
        <v>154.32</v>
      </c>
    </row>
    <row r="30" spans="1:11" x14ac:dyDescent="0.25">
      <c r="B30" s="11"/>
      <c r="C30" s="11"/>
      <c r="D30" s="11"/>
      <c r="E30" s="11">
        <v>9221</v>
      </c>
      <c r="F30" s="28" t="s">
        <v>85</v>
      </c>
      <c r="G30" s="79">
        <v>52216.02</v>
      </c>
      <c r="H30" s="8">
        <v>50000</v>
      </c>
      <c r="I30" s="82">
        <v>77160</v>
      </c>
      <c r="J30" s="82">
        <f t="shared" si="0"/>
        <v>147.77074162297319</v>
      </c>
      <c r="K30" s="82">
        <f t="shared" si="1"/>
        <v>154.32</v>
      </c>
    </row>
    <row r="31" spans="1:11" s="56" customFormat="1" x14ac:dyDescent="0.25">
      <c r="B31" s="149" t="s">
        <v>86</v>
      </c>
      <c r="C31" s="150"/>
      <c r="D31" s="150"/>
      <c r="E31" s="150"/>
      <c r="F31" s="151"/>
      <c r="G31" s="81">
        <f>G10+G28</f>
        <v>169056.4</v>
      </c>
      <c r="H31" s="61">
        <f>H10+H28</f>
        <v>240560.9</v>
      </c>
      <c r="I31" s="81">
        <f>I10+I28</f>
        <v>201482.16</v>
      </c>
      <c r="J31" s="81">
        <f t="shared" si="0"/>
        <v>119.18043919070796</v>
      </c>
      <c r="K31" s="81">
        <f t="shared" si="1"/>
        <v>83.755157217985129</v>
      </c>
    </row>
    <row r="32" spans="1:11" ht="18" x14ac:dyDescent="0.25">
      <c r="B32" s="3"/>
      <c r="C32" s="3"/>
      <c r="D32" s="3"/>
      <c r="E32" s="3"/>
      <c r="F32" s="3"/>
      <c r="G32" s="3"/>
      <c r="H32" s="3"/>
      <c r="I32" s="4"/>
      <c r="J32" s="4"/>
      <c r="K32" s="4"/>
    </row>
    <row r="33" spans="2:11" ht="36.75" customHeight="1" x14ac:dyDescent="0.25">
      <c r="B33" s="152" t="s">
        <v>8</v>
      </c>
      <c r="C33" s="153"/>
      <c r="D33" s="153"/>
      <c r="E33" s="153"/>
      <c r="F33" s="154"/>
      <c r="G33" s="39" t="s">
        <v>233</v>
      </c>
      <c r="H33" s="39" t="s">
        <v>231</v>
      </c>
      <c r="I33" s="39" t="s">
        <v>234</v>
      </c>
      <c r="J33" s="39" t="s">
        <v>30</v>
      </c>
      <c r="K33" s="39" t="s">
        <v>62</v>
      </c>
    </row>
    <row r="34" spans="2:11" x14ac:dyDescent="0.25">
      <c r="B34" s="155">
        <v>1</v>
      </c>
      <c r="C34" s="156"/>
      <c r="D34" s="156"/>
      <c r="E34" s="156"/>
      <c r="F34" s="157"/>
      <c r="G34" s="42">
        <v>2</v>
      </c>
      <c r="H34" s="42">
        <v>3</v>
      </c>
      <c r="I34" s="42">
        <v>4</v>
      </c>
      <c r="J34" s="42" t="s">
        <v>124</v>
      </c>
      <c r="K34" s="42" t="s">
        <v>176</v>
      </c>
    </row>
    <row r="35" spans="2:11" s="56" customFormat="1" x14ac:dyDescent="0.25">
      <c r="B35" s="10"/>
      <c r="C35" s="10"/>
      <c r="D35" s="10"/>
      <c r="E35" s="10"/>
      <c r="F35" s="10" t="s">
        <v>59</v>
      </c>
      <c r="G35" s="77">
        <f>G36+G66</f>
        <v>84339.11</v>
      </c>
      <c r="H35" s="60">
        <f>H36+H66</f>
        <v>240560.9</v>
      </c>
      <c r="I35" s="81">
        <f>I36+I66</f>
        <v>81681.359999999986</v>
      </c>
      <c r="J35" s="81">
        <f t="shared" ref="J35:J72" si="6">I35/G35*100</f>
        <v>96.848733642078969</v>
      </c>
      <c r="K35" s="81">
        <f t="shared" ref="K35:K70" si="7">I35/H35*100</f>
        <v>33.954545397859746</v>
      </c>
    </row>
    <row r="36" spans="2:11" s="56" customFormat="1" x14ac:dyDescent="0.25">
      <c r="B36" s="10">
        <v>3</v>
      </c>
      <c r="C36" s="10"/>
      <c r="D36" s="10"/>
      <c r="E36" s="10"/>
      <c r="F36" s="10" t="s">
        <v>4</v>
      </c>
      <c r="G36" s="77">
        <f>G37+G63</f>
        <v>83699.92</v>
      </c>
      <c r="H36" s="60">
        <f>H37+H63</f>
        <v>236550.9</v>
      </c>
      <c r="I36" s="81">
        <f>I37+I63</f>
        <v>79495.489999999991</v>
      </c>
      <c r="J36" s="81">
        <f t="shared" si="6"/>
        <v>94.976781339814892</v>
      </c>
      <c r="K36" s="81">
        <f t="shared" si="7"/>
        <v>33.606082242764664</v>
      </c>
    </row>
    <row r="37" spans="2:11" x14ac:dyDescent="0.25">
      <c r="B37" s="11"/>
      <c r="C37" s="11">
        <v>32</v>
      </c>
      <c r="D37" s="12"/>
      <c r="E37" s="12"/>
      <c r="F37" s="11" t="s">
        <v>13</v>
      </c>
      <c r="G37" s="79">
        <f>G38+G41+G48+G57</f>
        <v>83347.569999999992</v>
      </c>
      <c r="H37" s="8">
        <f>H38+H41+H48+H57</f>
        <v>234850.9</v>
      </c>
      <c r="I37" s="82">
        <f>I38+I41+I48+I57</f>
        <v>79181.849999999991</v>
      </c>
      <c r="J37" s="81">
        <f t="shared" si="6"/>
        <v>95.001989860052305</v>
      </c>
      <c r="K37" s="81">
        <f t="shared" si="7"/>
        <v>33.715795851751047</v>
      </c>
    </row>
    <row r="38" spans="2:11" x14ac:dyDescent="0.25">
      <c r="B38" s="11"/>
      <c r="C38" s="11"/>
      <c r="D38" s="11">
        <v>321</v>
      </c>
      <c r="E38" s="11"/>
      <c r="F38" s="11" t="s">
        <v>43</v>
      </c>
      <c r="G38" s="79">
        <f>SUM(G39:G40)</f>
        <v>1499.26</v>
      </c>
      <c r="H38" s="8">
        <f>H39+H40</f>
        <v>6650</v>
      </c>
      <c r="I38" s="82">
        <f>I39+I40</f>
        <v>1873.19</v>
      </c>
      <c r="J38" s="81">
        <f t="shared" si="6"/>
        <v>124.94097087896697</v>
      </c>
      <c r="K38" s="81">
        <f t="shared" si="7"/>
        <v>28.16827067669173</v>
      </c>
    </row>
    <row r="39" spans="2:11" x14ac:dyDescent="0.25">
      <c r="B39" s="11"/>
      <c r="C39" s="19"/>
      <c r="D39" s="11"/>
      <c r="E39" s="11">
        <v>3211</v>
      </c>
      <c r="F39" s="28" t="s">
        <v>44</v>
      </c>
      <c r="G39" s="79">
        <v>1109.82</v>
      </c>
      <c r="H39" s="8">
        <v>3990</v>
      </c>
      <c r="I39" s="82">
        <v>1553.19</v>
      </c>
      <c r="J39" s="81">
        <f t="shared" si="6"/>
        <v>139.94972157647189</v>
      </c>
      <c r="K39" s="81">
        <f t="shared" si="7"/>
        <v>38.927067669172935</v>
      </c>
    </row>
    <row r="40" spans="2:11" x14ac:dyDescent="0.25">
      <c r="B40" s="11"/>
      <c r="C40" s="19"/>
      <c r="D40" s="11"/>
      <c r="E40" s="11">
        <v>3213</v>
      </c>
      <c r="F40" s="28" t="s">
        <v>87</v>
      </c>
      <c r="G40" s="79">
        <v>389.44</v>
      </c>
      <c r="H40" s="8">
        <v>2660</v>
      </c>
      <c r="I40" s="82">
        <v>320</v>
      </c>
      <c r="J40" s="81">
        <f t="shared" si="6"/>
        <v>82.169268693508627</v>
      </c>
      <c r="K40" s="81">
        <f t="shared" si="7"/>
        <v>12.030075187969924</v>
      </c>
    </row>
    <row r="41" spans="2:11" x14ac:dyDescent="0.25">
      <c r="B41" s="11"/>
      <c r="C41" s="19"/>
      <c r="D41" s="11">
        <v>322</v>
      </c>
      <c r="E41" s="11"/>
      <c r="F41" s="28" t="s">
        <v>105</v>
      </c>
      <c r="G41" s="79">
        <f>SUM(G42:G47)</f>
        <v>70046.17</v>
      </c>
      <c r="H41" s="8">
        <f>H42+H43+H44+H45+H46+H47</f>
        <v>188580.9</v>
      </c>
      <c r="I41" s="82">
        <f>SUM(I42:I47)</f>
        <v>64066.49</v>
      </c>
      <c r="J41" s="81">
        <f t="shared" si="6"/>
        <v>91.463230609182489</v>
      </c>
      <c r="K41" s="81">
        <f t="shared" si="7"/>
        <v>33.972947419383402</v>
      </c>
    </row>
    <row r="42" spans="2:11" x14ac:dyDescent="0.25">
      <c r="B42" s="11"/>
      <c r="C42" s="19"/>
      <c r="D42" s="11"/>
      <c r="E42" s="11">
        <v>3221</v>
      </c>
      <c r="F42" s="28" t="s">
        <v>88</v>
      </c>
      <c r="G42" s="79">
        <f>1533.42+234.14+1631.44</f>
        <v>3399</v>
      </c>
      <c r="H42" s="8">
        <f>200.9+3980+3330+6650</f>
        <v>14160.9</v>
      </c>
      <c r="I42" s="82">
        <f>300.09+1847.73+230.66+517.12</f>
        <v>2895.6</v>
      </c>
      <c r="J42" s="81">
        <f t="shared" si="6"/>
        <v>85.189761694616067</v>
      </c>
      <c r="K42" s="81">
        <f t="shared" si="7"/>
        <v>20.447852890706102</v>
      </c>
    </row>
    <row r="43" spans="2:11" x14ac:dyDescent="0.25">
      <c r="B43" s="11"/>
      <c r="C43" s="19"/>
      <c r="D43" s="11"/>
      <c r="E43" s="11">
        <v>3222</v>
      </c>
      <c r="F43" s="28" t="s">
        <v>89</v>
      </c>
      <c r="G43" s="79">
        <f>30618.59+10109.06</f>
        <v>40727.65</v>
      </c>
      <c r="H43" s="8">
        <f>38790+44730+1590</f>
        <v>85110</v>
      </c>
      <c r="I43" s="82">
        <f>35822.73+5634.34+1000+581.68</f>
        <v>43038.750000000007</v>
      </c>
      <c r="J43" s="81">
        <f t="shared" si="6"/>
        <v>105.6745233275183</v>
      </c>
      <c r="K43" s="81">
        <f t="shared" si="7"/>
        <v>50.568382093761024</v>
      </c>
    </row>
    <row r="44" spans="2:11" x14ac:dyDescent="0.25">
      <c r="B44" s="11"/>
      <c r="C44" s="19"/>
      <c r="D44" s="11"/>
      <c r="E44" s="11">
        <v>3223</v>
      </c>
      <c r="F44" s="28" t="s">
        <v>90</v>
      </c>
      <c r="G44" s="79">
        <f>22405.58+1613.85+297.03</f>
        <v>24316.46</v>
      </c>
      <c r="H44" s="8">
        <f>10300+24000+5276+35894+3990</f>
        <v>79460</v>
      </c>
      <c r="I44" s="82">
        <f>4306.28+12837.98+423.39</f>
        <v>17567.649999999998</v>
      </c>
      <c r="J44" s="81">
        <f t="shared" si="6"/>
        <v>72.245919019462534</v>
      </c>
      <c r="K44" s="81">
        <f t="shared" si="7"/>
        <v>22.108796878932793</v>
      </c>
    </row>
    <row r="45" spans="2:11" ht="25.5" x14ac:dyDescent="0.25">
      <c r="B45" s="11"/>
      <c r="C45" s="19"/>
      <c r="D45" s="11"/>
      <c r="E45" s="11">
        <v>3224</v>
      </c>
      <c r="F45" s="28" t="s">
        <v>91</v>
      </c>
      <c r="G45" s="79">
        <f>225.95+337.48</f>
        <v>563.43000000000006</v>
      </c>
      <c r="H45" s="8">
        <f>1220+3990</f>
        <v>5210</v>
      </c>
      <c r="I45" s="82">
        <f>136.84+186.7</f>
        <v>323.53999999999996</v>
      </c>
      <c r="J45" s="81">
        <f t="shared" si="6"/>
        <v>57.423282395328599</v>
      </c>
      <c r="K45" s="81">
        <f t="shared" si="7"/>
        <v>6.2099808061420338</v>
      </c>
    </row>
    <row r="46" spans="2:11" x14ac:dyDescent="0.25">
      <c r="B46" s="11"/>
      <c r="C46" s="19"/>
      <c r="D46" s="11"/>
      <c r="E46" s="11">
        <v>3225</v>
      </c>
      <c r="F46" s="28" t="s">
        <v>92</v>
      </c>
      <c r="G46" s="79">
        <v>1039.6300000000001</v>
      </c>
      <c r="H46" s="8">
        <f>660+1990</f>
        <v>2650</v>
      </c>
      <c r="I46" s="82">
        <f>113.48+127.47</f>
        <v>240.95</v>
      </c>
      <c r="J46" s="81">
        <f t="shared" si="6"/>
        <v>23.176514721583636</v>
      </c>
      <c r="K46" s="81">
        <f t="shared" si="7"/>
        <v>9.0924528301886784</v>
      </c>
    </row>
    <row r="47" spans="2:11" x14ac:dyDescent="0.25">
      <c r="B47" s="11"/>
      <c r="C47" s="19"/>
      <c r="D47" s="11"/>
      <c r="E47" s="11">
        <v>3227</v>
      </c>
      <c r="F47" s="28" t="s">
        <v>93</v>
      </c>
      <c r="G47" s="79">
        <v>0</v>
      </c>
      <c r="H47" s="8">
        <v>1990</v>
      </c>
      <c r="I47" s="82">
        <v>0</v>
      </c>
      <c r="J47" s="83" t="s">
        <v>116</v>
      </c>
      <c r="K47" s="81">
        <f t="shared" si="7"/>
        <v>0</v>
      </c>
    </row>
    <row r="48" spans="2:11" x14ac:dyDescent="0.25">
      <c r="B48" s="11"/>
      <c r="C48" s="19"/>
      <c r="D48" s="11">
        <v>323</v>
      </c>
      <c r="E48" s="11"/>
      <c r="F48" s="28" t="s">
        <v>106</v>
      </c>
      <c r="G48" s="79">
        <f>SUM(G49:G56)</f>
        <v>9024.41</v>
      </c>
      <c r="H48" s="8">
        <f>H49+H50+H51+H52+H53+H54+H56</f>
        <v>31130</v>
      </c>
      <c r="I48" s="82">
        <f>SUM(I49:I56)</f>
        <v>11389.91</v>
      </c>
      <c r="J48" s="83">
        <f t="shared" si="6"/>
        <v>126.21223991374507</v>
      </c>
      <c r="K48" s="81">
        <f t="shared" si="7"/>
        <v>36.588210729200128</v>
      </c>
    </row>
    <row r="49" spans="2:11" x14ac:dyDescent="0.25">
      <c r="B49" s="11"/>
      <c r="C49" s="19"/>
      <c r="D49" s="11"/>
      <c r="E49" s="11">
        <v>3231</v>
      </c>
      <c r="F49" s="28" t="s">
        <v>94</v>
      </c>
      <c r="G49" s="79">
        <f>600+325.23+384.51</f>
        <v>1309.74</v>
      </c>
      <c r="H49" s="8">
        <f>600+2500+1600</f>
        <v>4700</v>
      </c>
      <c r="I49" s="82">
        <f>630.14+378.98+481.66</f>
        <v>1490.78</v>
      </c>
      <c r="J49" s="83">
        <f t="shared" si="6"/>
        <v>113.82259074320093</v>
      </c>
      <c r="K49" s="81">
        <f t="shared" si="7"/>
        <v>31.718723404255318</v>
      </c>
    </row>
    <row r="50" spans="2:11" x14ac:dyDescent="0.25">
      <c r="B50" s="11"/>
      <c r="C50" s="19"/>
      <c r="D50" s="11"/>
      <c r="E50" s="11">
        <v>3232</v>
      </c>
      <c r="F50" s="28" t="s">
        <v>95</v>
      </c>
      <c r="G50" s="79">
        <v>1290.02</v>
      </c>
      <c r="H50" s="8">
        <f>2150+5310</f>
        <v>7460</v>
      </c>
      <c r="I50" s="82">
        <f>971.83+393.4</f>
        <v>1365.23</v>
      </c>
      <c r="J50" s="83">
        <f t="shared" si="6"/>
        <v>105.83014216833848</v>
      </c>
      <c r="K50" s="81">
        <f t="shared" si="7"/>
        <v>18.300670241286863</v>
      </c>
    </row>
    <row r="51" spans="2:11" x14ac:dyDescent="0.25">
      <c r="B51" s="11"/>
      <c r="C51" s="19"/>
      <c r="D51" s="11"/>
      <c r="E51" s="11">
        <v>3233</v>
      </c>
      <c r="F51" s="28" t="s">
        <v>96</v>
      </c>
      <c r="G51" s="79">
        <v>0</v>
      </c>
      <c r="H51" s="8">
        <v>390</v>
      </c>
      <c r="I51" s="82">
        <v>0</v>
      </c>
      <c r="J51" s="83" t="s">
        <v>116</v>
      </c>
      <c r="K51" s="81">
        <f t="shared" si="7"/>
        <v>0</v>
      </c>
    </row>
    <row r="52" spans="2:11" x14ac:dyDescent="0.25">
      <c r="B52" s="11"/>
      <c r="C52" s="19"/>
      <c r="D52" s="11"/>
      <c r="E52" s="11">
        <v>3234</v>
      </c>
      <c r="F52" s="28" t="s">
        <v>97</v>
      </c>
      <c r="G52" s="79">
        <v>3869.89</v>
      </c>
      <c r="H52" s="8">
        <f>7620+2660</f>
        <v>10280</v>
      </c>
      <c r="I52" s="82">
        <v>4816.53</v>
      </c>
      <c r="J52" s="83">
        <f t="shared" si="6"/>
        <v>124.46167720529525</v>
      </c>
      <c r="K52" s="81">
        <f t="shared" si="7"/>
        <v>46.853404669260698</v>
      </c>
    </row>
    <row r="53" spans="2:11" x14ac:dyDescent="0.25">
      <c r="B53" s="11"/>
      <c r="C53" s="19"/>
      <c r="D53" s="11"/>
      <c r="E53" s="11">
        <v>3236</v>
      </c>
      <c r="F53" s="28" t="s">
        <v>98</v>
      </c>
      <c r="G53" s="79">
        <v>438.8</v>
      </c>
      <c r="H53" s="8">
        <f>200+800+800</f>
        <v>1800</v>
      </c>
      <c r="I53" s="82">
        <f>333.86+145.42</f>
        <v>479.28</v>
      </c>
      <c r="J53" s="83">
        <f t="shared" si="6"/>
        <v>109.22515952597993</v>
      </c>
      <c r="K53" s="81">
        <f t="shared" si="7"/>
        <v>26.626666666666665</v>
      </c>
    </row>
    <row r="54" spans="2:11" x14ac:dyDescent="0.25">
      <c r="B54" s="11"/>
      <c r="C54" s="19"/>
      <c r="D54" s="11"/>
      <c r="E54" s="11">
        <v>3238</v>
      </c>
      <c r="F54" s="28" t="s">
        <v>99</v>
      </c>
      <c r="G54" s="79">
        <v>1280.21</v>
      </c>
      <c r="H54" s="8">
        <v>3500</v>
      </c>
      <c r="I54" s="82">
        <v>579.1</v>
      </c>
      <c r="J54" s="83">
        <f t="shared" si="6"/>
        <v>45.234766171175046</v>
      </c>
      <c r="K54" s="81">
        <f t="shared" si="7"/>
        <v>16.545714285714286</v>
      </c>
    </row>
    <row r="55" spans="2:11" x14ac:dyDescent="0.25">
      <c r="B55" s="11"/>
      <c r="C55" s="19"/>
      <c r="D55" s="11"/>
      <c r="E55" s="11">
        <v>3237</v>
      </c>
      <c r="F55" s="28" t="s">
        <v>115</v>
      </c>
      <c r="G55" s="79">
        <v>0</v>
      </c>
      <c r="H55" s="8">
        <v>0</v>
      </c>
      <c r="I55" s="82">
        <v>0</v>
      </c>
      <c r="J55" s="83" t="s">
        <v>116</v>
      </c>
      <c r="K55" s="83" t="s">
        <v>116</v>
      </c>
    </row>
    <row r="56" spans="2:11" x14ac:dyDescent="0.25">
      <c r="B56" s="11"/>
      <c r="C56" s="19"/>
      <c r="D56" s="11"/>
      <c r="E56" s="11">
        <v>3239</v>
      </c>
      <c r="F56" s="28" t="s">
        <v>100</v>
      </c>
      <c r="G56" s="79">
        <v>835.75</v>
      </c>
      <c r="H56" s="8">
        <v>3000</v>
      </c>
      <c r="I56" s="82">
        <v>2658.99</v>
      </c>
      <c r="J56" s="81">
        <f t="shared" si="6"/>
        <v>318.15614717319767</v>
      </c>
      <c r="K56" s="81">
        <f t="shared" si="7"/>
        <v>88.632999999999996</v>
      </c>
    </row>
    <row r="57" spans="2:11" x14ac:dyDescent="0.25">
      <c r="B57" s="11"/>
      <c r="C57" s="19"/>
      <c r="D57" s="11">
        <v>329</v>
      </c>
      <c r="E57" s="11"/>
      <c r="F57" s="28" t="s">
        <v>104</v>
      </c>
      <c r="G57" s="79">
        <f>SUM(G58:G62)</f>
        <v>2777.73</v>
      </c>
      <c r="H57" s="8">
        <f>H58+H59+H60+H61+H62</f>
        <v>8490</v>
      </c>
      <c r="I57" s="82">
        <f>SUM(I58:I62)</f>
        <v>1852.26</v>
      </c>
      <c r="J57" s="81">
        <f t="shared" si="6"/>
        <v>66.682506939119364</v>
      </c>
      <c r="K57" s="81">
        <f t="shared" si="7"/>
        <v>21.816961130742047</v>
      </c>
    </row>
    <row r="58" spans="2:11" x14ac:dyDescent="0.25">
      <c r="B58" s="11"/>
      <c r="C58" s="19"/>
      <c r="D58" s="11"/>
      <c r="E58" s="11">
        <v>3292</v>
      </c>
      <c r="F58" s="28" t="s">
        <v>101</v>
      </c>
      <c r="G58" s="79">
        <v>1856.53</v>
      </c>
      <c r="H58" s="8">
        <v>3990</v>
      </c>
      <c r="I58" s="82">
        <v>1520.32</v>
      </c>
      <c r="J58" s="81">
        <f t="shared" si="6"/>
        <v>81.890408450173169</v>
      </c>
      <c r="K58" s="81">
        <f t="shared" si="7"/>
        <v>38.103258145363405</v>
      </c>
    </row>
    <row r="59" spans="2:11" x14ac:dyDescent="0.25">
      <c r="B59" s="11"/>
      <c r="C59" s="19"/>
      <c r="D59" s="11"/>
      <c r="E59" s="11">
        <v>3293</v>
      </c>
      <c r="F59" s="28" t="s">
        <v>102</v>
      </c>
      <c r="G59" s="79">
        <v>409.3</v>
      </c>
      <c r="H59" s="8">
        <f>1500+920</f>
        <v>2420</v>
      </c>
      <c r="I59" s="82">
        <v>17.89</v>
      </c>
      <c r="J59" s="81">
        <f t="shared" si="6"/>
        <v>4.3708771072562911</v>
      </c>
      <c r="K59" s="81">
        <f t="shared" si="7"/>
        <v>0.73925619834710743</v>
      </c>
    </row>
    <row r="60" spans="2:11" x14ac:dyDescent="0.25">
      <c r="B60" s="11"/>
      <c r="C60" s="19"/>
      <c r="D60" s="11"/>
      <c r="E60" s="11">
        <v>3294</v>
      </c>
      <c r="F60" s="28" t="s">
        <v>196</v>
      </c>
      <c r="G60" s="79">
        <v>63.27</v>
      </c>
      <c r="H60" s="8">
        <v>130</v>
      </c>
      <c r="I60" s="82">
        <v>50</v>
      </c>
      <c r="J60" s="83" t="s">
        <v>116</v>
      </c>
      <c r="K60" s="81">
        <f t="shared" si="7"/>
        <v>38.461538461538467</v>
      </c>
    </row>
    <row r="61" spans="2:11" x14ac:dyDescent="0.25">
      <c r="B61" s="11"/>
      <c r="C61" s="19"/>
      <c r="D61" s="11"/>
      <c r="E61" s="11">
        <v>3295</v>
      </c>
      <c r="F61" s="28" t="s">
        <v>103</v>
      </c>
      <c r="G61" s="79">
        <v>0</v>
      </c>
      <c r="H61" s="8">
        <v>400</v>
      </c>
      <c r="I61" s="82">
        <v>119.46</v>
      </c>
      <c r="J61" s="83" t="s">
        <v>116</v>
      </c>
      <c r="K61" s="81">
        <f t="shared" si="7"/>
        <v>29.864999999999998</v>
      </c>
    </row>
    <row r="62" spans="2:11" x14ac:dyDescent="0.25">
      <c r="B62" s="11"/>
      <c r="C62" s="19"/>
      <c r="D62" s="11"/>
      <c r="E62" s="11">
        <v>3299</v>
      </c>
      <c r="F62" s="28" t="s">
        <v>104</v>
      </c>
      <c r="G62" s="79">
        <v>448.63</v>
      </c>
      <c r="H62" s="8">
        <v>1550</v>
      </c>
      <c r="I62" s="82">
        <v>144.59</v>
      </c>
      <c r="J62" s="81">
        <f t="shared" si="6"/>
        <v>32.229231215032435</v>
      </c>
      <c r="K62" s="81">
        <f t="shared" si="7"/>
        <v>9.3283870967741933</v>
      </c>
    </row>
    <row r="63" spans="2:11" x14ac:dyDescent="0.25">
      <c r="B63" s="11"/>
      <c r="C63" s="11">
        <v>34</v>
      </c>
      <c r="D63" s="12"/>
      <c r="E63" s="12"/>
      <c r="F63" s="11" t="s">
        <v>107</v>
      </c>
      <c r="G63" s="79">
        <f t="shared" ref="G63:I64" si="8">G64</f>
        <v>352.35</v>
      </c>
      <c r="H63" s="8">
        <f t="shared" si="8"/>
        <v>1700</v>
      </c>
      <c r="I63" s="82">
        <f t="shared" si="8"/>
        <v>313.64</v>
      </c>
      <c r="J63" s="81">
        <f t="shared" si="6"/>
        <v>89.013764722576965</v>
      </c>
      <c r="K63" s="81">
        <f t="shared" si="7"/>
        <v>18.449411764705882</v>
      </c>
    </row>
    <row r="64" spans="2:11" x14ac:dyDescent="0.25">
      <c r="B64" s="11"/>
      <c r="C64" s="11"/>
      <c r="D64" s="11">
        <v>343</v>
      </c>
      <c r="E64" s="11"/>
      <c r="F64" s="11" t="s">
        <v>108</v>
      </c>
      <c r="G64" s="79">
        <f>G65</f>
        <v>352.35</v>
      </c>
      <c r="H64" s="8">
        <f t="shared" si="8"/>
        <v>1700</v>
      </c>
      <c r="I64" s="82">
        <f t="shared" si="8"/>
        <v>313.64</v>
      </c>
      <c r="J64" s="81">
        <f t="shared" si="6"/>
        <v>89.013764722576965</v>
      </c>
      <c r="K64" s="81">
        <f t="shared" si="7"/>
        <v>18.449411764705882</v>
      </c>
    </row>
    <row r="65" spans="2:11" x14ac:dyDescent="0.25">
      <c r="B65" s="11"/>
      <c r="C65" s="19"/>
      <c r="D65" s="11"/>
      <c r="E65" s="11">
        <v>3431</v>
      </c>
      <c r="F65" s="28" t="s">
        <v>109</v>
      </c>
      <c r="G65" s="79">
        <v>352.35</v>
      </c>
      <c r="H65" s="8">
        <v>1700</v>
      </c>
      <c r="I65" s="82">
        <v>313.64</v>
      </c>
      <c r="J65" s="81">
        <f t="shared" si="6"/>
        <v>89.013764722576965</v>
      </c>
      <c r="K65" s="81">
        <f t="shared" si="7"/>
        <v>18.449411764705882</v>
      </c>
    </row>
    <row r="66" spans="2:11" s="56" customFormat="1" x14ac:dyDescent="0.25">
      <c r="B66" s="13">
        <v>4</v>
      </c>
      <c r="C66" s="13"/>
      <c r="D66" s="13"/>
      <c r="E66" s="13"/>
      <c r="F66" s="17" t="s">
        <v>6</v>
      </c>
      <c r="G66" s="77">
        <f>G67</f>
        <v>639.19000000000005</v>
      </c>
      <c r="H66" s="60">
        <f>H67</f>
        <v>4010</v>
      </c>
      <c r="I66" s="81">
        <f>I67</f>
        <v>2185.87</v>
      </c>
      <c r="J66" s="81">
        <f t="shared" si="6"/>
        <v>341.97499960887995</v>
      </c>
      <c r="K66" s="81">
        <f t="shared" si="7"/>
        <v>54.510473815461346</v>
      </c>
    </row>
    <row r="67" spans="2:11" ht="30" customHeight="1" x14ac:dyDescent="0.25">
      <c r="B67" s="14"/>
      <c r="C67" s="14">
        <v>42</v>
      </c>
      <c r="D67" s="14"/>
      <c r="E67" s="14"/>
      <c r="F67" s="18" t="s">
        <v>110</v>
      </c>
      <c r="G67" s="79">
        <f>G68+G71</f>
        <v>639.19000000000005</v>
      </c>
      <c r="H67" s="8">
        <f>H68+H71</f>
        <v>4010</v>
      </c>
      <c r="I67" s="82">
        <f>I68+I71</f>
        <v>2185.87</v>
      </c>
      <c r="J67" s="81">
        <f t="shared" si="6"/>
        <v>341.97499960887995</v>
      </c>
      <c r="K67" s="81">
        <f t="shared" si="7"/>
        <v>54.510473815461346</v>
      </c>
    </row>
    <row r="68" spans="2:11" x14ac:dyDescent="0.25">
      <c r="B68" s="14"/>
      <c r="C68" s="14"/>
      <c r="D68" s="11">
        <v>422</v>
      </c>
      <c r="E68" s="11"/>
      <c r="F68" s="11" t="s">
        <v>111</v>
      </c>
      <c r="G68" s="79">
        <f>G69+G70</f>
        <v>172.31</v>
      </c>
      <c r="H68" s="8">
        <f>H70</f>
        <v>4010</v>
      </c>
      <c r="I68" s="82">
        <f>I70</f>
        <v>2185.87</v>
      </c>
      <c r="J68" s="81">
        <f t="shared" si="6"/>
        <v>1268.5682781034182</v>
      </c>
      <c r="K68" s="81">
        <f t="shared" si="7"/>
        <v>54.510473815461346</v>
      </c>
    </row>
    <row r="69" spans="2:11" x14ac:dyDescent="0.25">
      <c r="B69" s="14"/>
      <c r="C69" s="14"/>
      <c r="D69" s="11"/>
      <c r="E69" s="11">
        <v>4221</v>
      </c>
      <c r="F69" s="11" t="s">
        <v>202</v>
      </c>
      <c r="G69" s="79">
        <v>0</v>
      </c>
      <c r="H69" s="8">
        <v>0</v>
      </c>
      <c r="I69" s="82">
        <v>0</v>
      </c>
      <c r="J69" s="83" t="s">
        <v>116</v>
      </c>
      <c r="K69" s="83" t="s">
        <v>116</v>
      </c>
    </row>
    <row r="70" spans="2:11" x14ac:dyDescent="0.25">
      <c r="B70" s="14"/>
      <c r="C70" s="14"/>
      <c r="D70" s="11"/>
      <c r="E70" s="11">
        <v>4227</v>
      </c>
      <c r="F70" s="11" t="s">
        <v>112</v>
      </c>
      <c r="G70" s="79">
        <v>172.31</v>
      </c>
      <c r="H70" s="8">
        <v>4010</v>
      </c>
      <c r="I70" s="82">
        <f>2100+85.87</f>
        <v>2185.87</v>
      </c>
      <c r="J70" s="81">
        <f t="shared" si="6"/>
        <v>1268.5682781034182</v>
      </c>
      <c r="K70" s="81">
        <f t="shared" si="7"/>
        <v>54.510473815461346</v>
      </c>
    </row>
    <row r="71" spans="2:11" x14ac:dyDescent="0.25">
      <c r="B71" s="14"/>
      <c r="C71" s="14"/>
      <c r="D71" s="11">
        <v>426</v>
      </c>
      <c r="E71" s="11"/>
      <c r="F71" s="11" t="s">
        <v>113</v>
      </c>
      <c r="G71" s="79">
        <f>G72</f>
        <v>466.88</v>
      </c>
      <c r="H71" s="8">
        <f>H72</f>
        <v>0</v>
      </c>
      <c r="I71" s="82">
        <f>I72</f>
        <v>0</v>
      </c>
      <c r="J71" s="81">
        <f t="shared" si="6"/>
        <v>0</v>
      </c>
      <c r="K71" s="83" t="s">
        <v>116</v>
      </c>
    </row>
    <row r="72" spans="2:11" x14ac:dyDescent="0.25">
      <c r="B72" s="14"/>
      <c r="C72" s="14"/>
      <c r="D72" s="11"/>
      <c r="E72" s="11">
        <v>4262</v>
      </c>
      <c r="F72" s="11" t="s">
        <v>114</v>
      </c>
      <c r="G72" s="79">
        <v>466.88</v>
      </c>
      <c r="H72" s="8">
        <v>0</v>
      </c>
      <c r="I72" s="82">
        <v>0</v>
      </c>
      <c r="J72" s="81">
        <f t="shared" si="6"/>
        <v>0</v>
      </c>
      <c r="K72" s="83" t="s">
        <v>116</v>
      </c>
    </row>
    <row r="75" spans="2:11" ht="15" customHeight="1" x14ac:dyDescent="0.25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x14ac:dyDescent="0.25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ht="4.5" customHeight="1" x14ac:dyDescent="0.25">
      <c r="B77" s="35"/>
      <c r="C77" s="35"/>
      <c r="D77" s="35"/>
      <c r="E77" s="35"/>
      <c r="F77" s="35"/>
      <c r="G77" s="35"/>
      <c r="H77" s="35"/>
      <c r="I77" s="35"/>
      <c r="J77" s="35"/>
      <c r="K77" s="35"/>
    </row>
  </sheetData>
  <mergeCells count="9">
    <mergeCell ref="B31:F31"/>
    <mergeCell ref="B33:F33"/>
    <mergeCell ref="B34:F34"/>
    <mergeCell ref="B1:F1"/>
    <mergeCell ref="B2:K2"/>
    <mergeCell ref="B4:K4"/>
    <mergeCell ref="B6:K6"/>
    <mergeCell ref="B8:F8"/>
    <mergeCell ref="B9:F9"/>
  </mergeCells>
  <pageMargins left="0.7" right="0.7" top="0.75" bottom="0.75" header="0.3" footer="0.3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7"/>
  <sheetViews>
    <sheetView topLeftCell="A25" zoomScaleNormal="100" workbookViewId="0">
      <selection activeCell="E43" sqref="E4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2" spans="2:7" ht="15.75" x14ac:dyDescent="0.25">
      <c r="B2" s="159" t="s">
        <v>76</v>
      </c>
      <c r="C2" s="159"/>
    </row>
    <row r="3" spans="2:7" ht="18" x14ac:dyDescent="0.25">
      <c r="B3" s="3"/>
      <c r="C3" s="3"/>
      <c r="D3" s="3"/>
      <c r="E3" s="4"/>
      <c r="F3" s="4"/>
      <c r="G3" s="4"/>
    </row>
    <row r="4" spans="2:7" ht="15.75" customHeight="1" x14ac:dyDescent="0.25">
      <c r="B4" s="120" t="s">
        <v>48</v>
      </c>
      <c r="C4" s="120"/>
      <c r="D4" s="120"/>
      <c r="E4" s="120"/>
      <c r="F4" s="120"/>
      <c r="G4" s="120"/>
    </row>
    <row r="5" spans="2:7" ht="18" x14ac:dyDescent="0.25">
      <c r="B5" s="3"/>
      <c r="C5" s="3"/>
      <c r="D5" s="3"/>
      <c r="E5" s="4"/>
      <c r="F5" s="4"/>
      <c r="G5" s="4"/>
    </row>
    <row r="6" spans="2:7" ht="33.75" customHeight="1" x14ac:dyDescent="0.25">
      <c r="B6" s="39" t="s">
        <v>8</v>
      </c>
      <c r="C6" s="39" t="s">
        <v>233</v>
      </c>
      <c r="D6" s="39" t="s">
        <v>231</v>
      </c>
      <c r="E6" s="39" t="s">
        <v>234</v>
      </c>
      <c r="F6" s="39" t="s">
        <v>30</v>
      </c>
      <c r="G6" s="39" t="s">
        <v>62</v>
      </c>
    </row>
    <row r="7" spans="2:7" x14ac:dyDescent="0.25">
      <c r="B7" s="39">
        <v>1</v>
      </c>
      <c r="C7" s="42">
        <v>2</v>
      </c>
      <c r="D7" s="42">
        <v>3</v>
      </c>
      <c r="E7" s="42">
        <v>4</v>
      </c>
      <c r="F7" s="42" t="s">
        <v>124</v>
      </c>
      <c r="G7" s="42" t="s">
        <v>176</v>
      </c>
    </row>
    <row r="8" spans="2:7" x14ac:dyDescent="0.25">
      <c r="B8" s="10" t="s">
        <v>58</v>
      </c>
      <c r="C8" s="80">
        <f>C9+C12+C14+C16+C18+C22</f>
        <v>1566679.19</v>
      </c>
      <c r="D8" s="59">
        <f>D9+D12+D14+D16+D18+D22</f>
        <v>3512796</v>
      </c>
      <c r="E8" s="80">
        <f>E9+E14+E12+E16+E18+E22</f>
        <v>1902545.53</v>
      </c>
      <c r="F8" s="82">
        <f>E8/C8*100</f>
        <v>121.43810565327036</v>
      </c>
      <c r="G8" s="82">
        <f>E8/D8*100</f>
        <v>54.160433170613956</v>
      </c>
    </row>
    <row r="9" spans="2:7" x14ac:dyDescent="0.25">
      <c r="B9" s="10" t="s">
        <v>18</v>
      </c>
      <c r="C9" s="107">
        <f>C10+C11</f>
        <v>147686.75</v>
      </c>
      <c r="D9" s="71">
        <f>D10+D11</f>
        <v>222966</v>
      </c>
      <c r="E9" s="84">
        <f>E10+E11</f>
        <v>155857.57</v>
      </c>
      <c r="F9" s="82">
        <f t="shared" ref="F9:F50" si="0">E9/C9*100</f>
        <v>105.53253423208244</v>
      </c>
      <c r="G9" s="82">
        <f t="shared" ref="G9:G50" si="1">E9/D9*100</f>
        <v>69.901944691118828</v>
      </c>
    </row>
    <row r="10" spans="2:7" x14ac:dyDescent="0.25">
      <c r="B10" s="25" t="s">
        <v>19</v>
      </c>
      <c r="C10" s="90">
        <f>11562.31+4613.45</f>
        <v>16175.759999999998</v>
      </c>
      <c r="D10" s="70">
        <v>17650</v>
      </c>
      <c r="E10" s="85">
        <v>16439.080000000002</v>
      </c>
      <c r="F10" s="82">
        <f t="shared" si="0"/>
        <v>101.62786787143234</v>
      </c>
      <c r="G10" s="82">
        <f t="shared" si="1"/>
        <v>93.13926345609066</v>
      </c>
    </row>
    <row r="11" spans="2:7" x14ac:dyDescent="0.25">
      <c r="B11" s="26" t="s">
        <v>117</v>
      </c>
      <c r="C11" s="90">
        <v>131510.99</v>
      </c>
      <c r="D11" s="70">
        <v>205316</v>
      </c>
      <c r="E11" s="85">
        <v>139418.49</v>
      </c>
      <c r="F11" s="82">
        <f t="shared" si="0"/>
        <v>106.01280546971779</v>
      </c>
      <c r="G11" s="82">
        <f t="shared" si="1"/>
        <v>67.90434744491418</v>
      </c>
    </row>
    <row r="12" spans="2:7" s="56" customFormat="1" x14ac:dyDescent="0.25">
      <c r="B12" s="10" t="s">
        <v>125</v>
      </c>
      <c r="C12" s="107">
        <f>C13</f>
        <v>700</v>
      </c>
      <c r="D12" s="71">
        <f>D13</f>
        <v>0</v>
      </c>
      <c r="E12" s="84">
        <f>E13</f>
        <v>216</v>
      </c>
      <c r="F12" s="82">
        <f t="shared" si="0"/>
        <v>30.857142857142854</v>
      </c>
      <c r="G12" s="86" t="s">
        <v>116</v>
      </c>
    </row>
    <row r="13" spans="2:7" x14ac:dyDescent="0.25">
      <c r="B13" s="27" t="s">
        <v>126</v>
      </c>
      <c r="C13" s="90">
        <v>700</v>
      </c>
      <c r="D13" s="70">
        <v>0</v>
      </c>
      <c r="E13" s="85">
        <v>216</v>
      </c>
      <c r="F13" s="82">
        <f t="shared" si="0"/>
        <v>30.857142857142854</v>
      </c>
      <c r="G13" s="86" t="s">
        <v>116</v>
      </c>
    </row>
    <row r="14" spans="2:7" s="56" customFormat="1" x14ac:dyDescent="0.25">
      <c r="B14" s="10" t="s">
        <v>24</v>
      </c>
      <c r="C14" s="107">
        <f>C15</f>
        <v>67429.34</v>
      </c>
      <c r="D14" s="71">
        <f>D15</f>
        <v>79000</v>
      </c>
      <c r="E14" s="84">
        <f>E15</f>
        <v>31116.57</v>
      </c>
      <c r="F14" s="82">
        <f t="shared" si="0"/>
        <v>46.14692951169328</v>
      </c>
      <c r="G14" s="82">
        <f t="shared" si="1"/>
        <v>39.38806329113924</v>
      </c>
    </row>
    <row r="15" spans="2:7" x14ac:dyDescent="0.25">
      <c r="B15" s="27" t="s">
        <v>25</v>
      </c>
      <c r="C15" s="90">
        <v>67429.34</v>
      </c>
      <c r="D15" s="70">
        <v>79000</v>
      </c>
      <c r="E15" s="85">
        <v>31116.57</v>
      </c>
      <c r="F15" s="82">
        <f t="shared" si="0"/>
        <v>46.14692951169328</v>
      </c>
      <c r="G15" s="82">
        <f t="shared" si="1"/>
        <v>39.38806329113924</v>
      </c>
    </row>
    <row r="16" spans="2:7" s="56" customFormat="1" x14ac:dyDescent="0.25">
      <c r="B16" s="10" t="s">
        <v>118</v>
      </c>
      <c r="C16" s="107">
        <f>C17</f>
        <v>374.09</v>
      </c>
      <c r="D16" s="71">
        <f>D17</f>
        <v>3980</v>
      </c>
      <c r="E16" s="84">
        <f>E17</f>
        <v>507.6</v>
      </c>
      <c r="F16" s="82">
        <f t="shared" si="0"/>
        <v>135.68927263492745</v>
      </c>
      <c r="G16" s="82">
        <f t="shared" si="1"/>
        <v>12.753768844221106</v>
      </c>
    </row>
    <row r="17" spans="2:7" x14ac:dyDescent="0.25">
      <c r="B17" s="27" t="s">
        <v>119</v>
      </c>
      <c r="C17" s="90">
        <v>374.09</v>
      </c>
      <c r="D17" s="70">
        <v>3980</v>
      </c>
      <c r="E17" s="85">
        <v>507.6</v>
      </c>
      <c r="F17" s="82">
        <f t="shared" si="0"/>
        <v>135.68927263492745</v>
      </c>
      <c r="G17" s="82">
        <f t="shared" si="1"/>
        <v>12.753768844221106</v>
      </c>
    </row>
    <row r="18" spans="2:7" s="56" customFormat="1" x14ac:dyDescent="0.25">
      <c r="B18" s="10" t="s">
        <v>127</v>
      </c>
      <c r="C18" s="107">
        <f>C19+C20+C21</f>
        <v>1350247.42</v>
      </c>
      <c r="D18" s="71">
        <f>D19+D20+D21</f>
        <v>3206750</v>
      </c>
      <c r="E18" s="84">
        <f>E19+E20+E21</f>
        <v>1714780.37</v>
      </c>
      <c r="F18" s="82">
        <f t="shared" si="0"/>
        <v>126.99749280024545</v>
      </c>
      <c r="G18" s="82">
        <f t="shared" si="1"/>
        <v>53.47408965463476</v>
      </c>
    </row>
    <row r="19" spans="2:7" x14ac:dyDescent="0.25">
      <c r="B19" s="25" t="s">
        <v>128</v>
      </c>
      <c r="C19" s="90">
        <v>1285533.18</v>
      </c>
      <c r="D19" s="70">
        <v>3117800</v>
      </c>
      <c r="E19" s="85">
        <v>1648702.77</v>
      </c>
      <c r="F19" s="82">
        <f t="shared" si="0"/>
        <v>128.25050303252382</v>
      </c>
      <c r="G19" s="82">
        <f t="shared" si="1"/>
        <v>52.880324908589394</v>
      </c>
    </row>
    <row r="20" spans="2:7" x14ac:dyDescent="0.25">
      <c r="B20" s="26" t="s">
        <v>129</v>
      </c>
      <c r="C20" s="90">
        <v>9981.06</v>
      </c>
      <c r="D20" s="70">
        <v>37540</v>
      </c>
      <c r="E20" s="85">
        <v>26813.07</v>
      </c>
      <c r="F20" s="82">
        <f t="shared" si="0"/>
        <v>268.63950321909698</v>
      </c>
      <c r="G20" s="82">
        <f t="shared" si="1"/>
        <v>71.425332978156632</v>
      </c>
    </row>
    <row r="21" spans="2:7" x14ac:dyDescent="0.25">
      <c r="B21" s="26" t="s">
        <v>130</v>
      </c>
      <c r="C21" s="90">
        <v>54733.18</v>
      </c>
      <c r="D21" s="70">
        <v>51410</v>
      </c>
      <c r="E21" s="85">
        <f>1329.22+37935.31</f>
        <v>39264.53</v>
      </c>
      <c r="F21" s="82">
        <f t="shared" si="0"/>
        <v>71.738075514706068</v>
      </c>
      <c r="G21" s="82">
        <f t="shared" si="1"/>
        <v>76.375277183427343</v>
      </c>
    </row>
    <row r="22" spans="2:7" s="56" customFormat="1" ht="25.5" x14ac:dyDescent="0.25">
      <c r="B22" s="10" t="s">
        <v>131</v>
      </c>
      <c r="C22" s="107">
        <f>C23</f>
        <v>241.59</v>
      </c>
      <c r="D22" s="71">
        <f>D23</f>
        <v>100</v>
      </c>
      <c r="E22" s="84">
        <f>E23</f>
        <v>67.42</v>
      </c>
      <c r="F22" s="82">
        <f t="shared" si="0"/>
        <v>27.906784221201207</v>
      </c>
      <c r="G22" s="82">
        <f t="shared" si="1"/>
        <v>67.42</v>
      </c>
    </row>
    <row r="23" spans="2:7" ht="25.5" x14ac:dyDescent="0.25">
      <c r="B23" s="27" t="s">
        <v>132</v>
      </c>
      <c r="C23" s="90">
        <v>241.59</v>
      </c>
      <c r="D23" s="70">
        <v>100</v>
      </c>
      <c r="E23" s="85">
        <v>67.42</v>
      </c>
      <c r="F23" s="82">
        <f t="shared" si="0"/>
        <v>27.906784221201207</v>
      </c>
      <c r="G23" s="82">
        <f t="shared" si="1"/>
        <v>67.42</v>
      </c>
    </row>
    <row r="24" spans="2:7" s="56" customFormat="1" x14ac:dyDescent="0.25">
      <c r="B24" s="10" t="s">
        <v>120</v>
      </c>
      <c r="C24" s="107">
        <f>C25+C26+C27+C29</f>
        <v>208500.24</v>
      </c>
      <c r="D24" s="71">
        <f>D25+D27+D26</f>
        <v>50000</v>
      </c>
      <c r="E24" s="84">
        <f>E25+E26+E27+E29+E28</f>
        <v>64361.419999999991</v>
      </c>
      <c r="F24" s="82">
        <f t="shared" si="0"/>
        <v>30.86875103836811</v>
      </c>
      <c r="G24" s="82">
        <f t="shared" si="1"/>
        <v>128.72283999999999</v>
      </c>
    </row>
    <row r="25" spans="2:7" x14ac:dyDescent="0.25">
      <c r="B25" s="26" t="s">
        <v>133</v>
      </c>
      <c r="C25" s="90">
        <v>67091.38</v>
      </c>
      <c r="D25" s="70">
        <v>0</v>
      </c>
      <c r="E25" s="85">
        <v>1578.88</v>
      </c>
      <c r="F25" s="82">
        <f t="shared" si="0"/>
        <v>2.3533276555050735</v>
      </c>
      <c r="G25" s="86" t="s">
        <v>116</v>
      </c>
    </row>
    <row r="26" spans="2:7" x14ac:dyDescent="0.25">
      <c r="B26" s="26" t="s">
        <v>134</v>
      </c>
      <c r="C26" s="90">
        <v>122469.69</v>
      </c>
      <c r="D26" s="70">
        <v>50000</v>
      </c>
      <c r="E26" s="85">
        <v>39195.589999999997</v>
      </c>
      <c r="F26" s="82">
        <f t="shared" si="0"/>
        <v>32.004318782875991</v>
      </c>
      <c r="G26" s="82">
        <f t="shared" si="1"/>
        <v>78.391179999999991</v>
      </c>
    </row>
    <row r="27" spans="2:7" x14ac:dyDescent="0.25">
      <c r="B27" s="26" t="s">
        <v>175</v>
      </c>
      <c r="C27" s="90">
        <v>18275.560000000001</v>
      </c>
      <c r="D27" s="70">
        <v>0</v>
      </c>
      <c r="E27" s="85">
        <v>23286</v>
      </c>
      <c r="F27" s="86" t="s">
        <v>116</v>
      </c>
      <c r="G27" s="86" t="s">
        <v>116</v>
      </c>
    </row>
    <row r="28" spans="2:7" x14ac:dyDescent="0.25">
      <c r="B28" s="26" t="s">
        <v>242</v>
      </c>
      <c r="C28" s="90">
        <v>0</v>
      </c>
      <c r="D28" s="70">
        <v>0</v>
      </c>
      <c r="E28" s="85">
        <v>300.95</v>
      </c>
      <c r="F28" s="86" t="s">
        <v>116</v>
      </c>
      <c r="G28" s="86" t="s">
        <v>116</v>
      </c>
    </row>
    <row r="29" spans="2:7" x14ac:dyDescent="0.25">
      <c r="B29" s="26" t="s">
        <v>221</v>
      </c>
      <c r="C29" s="90">
        <v>663.61</v>
      </c>
      <c r="D29" s="70">
        <v>0</v>
      </c>
      <c r="E29" s="114"/>
      <c r="F29" s="86" t="s">
        <v>116</v>
      </c>
      <c r="G29" s="86" t="s">
        <v>116</v>
      </c>
    </row>
    <row r="30" spans="2:7" s="56" customFormat="1" x14ac:dyDescent="0.25">
      <c r="B30" s="13" t="s">
        <v>86</v>
      </c>
      <c r="C30" s="107">
        <f>C8+C24</f>
        <v>1775179.43</v>
      </c>
      <c r="D30" s="71">
        <f>D8+D24</f>
        <v>3562796</v>
      </c>
      <c r="E30" s="84">
        <f>E8+E24</f>
        <v>1966906.95</v>
      </c>
      <c r="F30" s="81">
        <f t="shared" si="0"/>
        <v>110.80045863307464</v>
      </c>
      <c r="G30" s="81">
        <f t="shared" si="1"/>
        <v>55.206836147789538</v>
      </c>
    </row>
    <row r="31" spans="2:7" x14ac:dyDescent="0.25">
      <c r="B31" s="27"/>
      <c r="C31" s="91"/>
      <c r="D31" s="69"/>
      <c r="E31" s="114"/>
      <c r="F31" s="82"/>
      <c r="G31" s="82"/>
    </row>
    <row r="32" spans="2:7" s="56" customFormat="1" ht="15.75" customHeight="1" x14ac:dyDescent="0.25">
      <c r="B32" s="10" t="s">
        <v>59</v>
      </c>
      <c r="C32" s="107">
        <f>C33+C36+C38+C40+C42+C46+C48</f>
        <v>1673924.32</v>
      </c>
      <c r="D32" s="71">
        <f>D33+D36+D38+D40+D42+D46+D48</f>
        <v>3562796</v>
      </c>
      <c r="E32" s="84">
        <f>E33+E36+E38+E40+E42+E46+E48</f>
        <v>1925059.5999999999</v>
      </c>
      <c r="F32" s="82">
        <f t="shared" si="0"/>
        <v>115.00278578902538</v>
      </c>
      <c r="G32" s="82">
        <f t="shared" si="1"/>
        <v>54.032271283564924</v>
      </c>
    </row>
    <row r="33" spans="2:7" s="56" customFormat="1" x14ac:dyDescent="0.25">
      <c r="B33" s="10" t="s">
        <v>18</v>
      </c>
      <c r="C33" s="107">
        <f>C34+C35</f>
        <v>151043.15</v>
      </c>
      <c r="D33" s="71">
        <f>D34+D35</f>
        <v>222966</v>
      </c>
      <c r="E33" s="84">
        <f>E34+E35</f>
        <v>158823.35999999999</v>
      </c>
      <c r="F33" s="82">
        <f t="shared" si="0"/>
        <v>105.15098499998179</v>
      </c>
      <c r="G33" s="82">
        <f t="shared" si="1"/>
        <v>71.232098167433591</v>
      </c>
    </row>
    <row r="34" spans="2:7" x14ac:dyDescent="0.25">
      <c r="B34" s="25" t="s">
        <v>19</v>
      </c>
      <c r="C34" s="90">
        <f>16555.79-411.5</f>
        <v>16144.29</v>
      </c>
      <c r="D34" s="70">
        <v>17650</v>
      </c>
      <c r="E34" s="85">
        <v>15130.74</v>
      </c>
      <c r="F34" s="82">
        <f t="shared" si="0"/>
        <v>93.721928929671108</v>
      </c>
      <c r="G34" s="82">
        <f t="shared" si="1"/>
        <v>85.72657223796034</v>
      </c>
    </row>
    <row r="35" spans="2:7" x14ac:dyDescent="0.25">
      <c r="B35" s="26" t="s">
        <v>117</v>
      </c>
      <c r="C35" s="90">
        <v>134898.85999999999</v>
      </c>
      <c r="D35" s="70">
        <v>205316</v>
      </c>
      <c r="E35" s="85">
        <v>143692.62</v>
      </c>
      <c r="F35" s="82">
        <f t="shared" si="0"/>
        <v>106.51878006975004</v>
      </c>
      <c r="G35" s="82">
        <f t="shared" si="1"/>
        <v>69.986079993765699</v>
      </c>
    </row>
    <row r="36" spans="2:7" s="56" customFormat="1" x14ac:dyDescent="0.25">
      <c r="B36" s="10" t="s">
        <v>125</v>
      </c>
      <c r="C36" s="107">
        <f>C37</f>
        <v>0</v>
      </c>
      <c r="D36" s="71">
        <f>D37</f>
        <v>0</v>
      </c>
      <c r="E36" s="84">
        <f>E37</f>
        <v>216</v>
      </c>
      <c r="F36" s="86" t="s">
        <v>116</v>
      </c>
      <c r="G36" s="86" t="s">
        <v>116</v>
      </c>
    </row>
    <row r="37" spans="2:7" x14ac:dyDescent="0.25">
      <c r="B37" s="27" t="s">
        <v>126</v>
      </c>
      <c r="C37" s="90">
        <v>0</v>
      </c>
      <c r="D37" s="70">
        <v>0</v>
      </c>
      <c r="E37" s="85">
        <v>216</v>
      </c>
      <c r="F37" s="86" t="s">
        <v>116</v>
      </c>
      <c r="G37" s="86" t="s">
        <v>116</v>
      </c>
    </row>
    <row r="38" spans="2:7" s="56" customFormat="1" x14ac:dyDescent="0.25">
      <c r="B38" s="10" t="s">
        <v>24</v>
      </c>
      <c r="C38" s="107">
        <f>C39</f>
        <v>46692.23</v>
      </c>
      <c r="D38" s="71">
        <f>D39</f>
        <v>79000</v>
      </c>
      <c r="E38" s="84">
        <f>E39</f>
        <v>32066.86</v>
      </c>
      <c r="F38" s="82">
        <f t="shared" si="0"/>
        <v>68.677079676854163</v>
      </c>
      <c r="G38" s="82">
        <f t="shared" si="1"/>
        <v>40.590962025316458</v>
      </c>
    </row>
    <row r="39" spans="2:7" x14ac:dyDescent="0.25">
      <c r="B39" s="27" t="s">
        <v>25</v>
      </c>
      <c r="C39" s="90">
        <v>46692.23</v>
      </c>
      <c r="D39" s="70">
        <v>79000</v>
      </c>
      <c r="E39" s="85">
        <v>32066.86</v>
      </c>
      <c r="F39" s="82">
        <f t="shared" si="0"/>
        <v>68.677079676854163</v>
      </c>
      <c r="G39" s="82">
        <f t="shared" si="1"/>
        <v>40.590962025316458</v>
      </c>
    </row>
    <row r="40" spans="2:7" s="56" customFormat="1" x14ac:dyDescent="0.25">
      <c r="B40" s="10" t="s">
        <v>118</v>
      </c>
      <c r="C40" s="107">
        <f>C41</f>
        <v>3320</v>
      </c>
      <c r="D40" s="71">
        <f>D41</f>
        <v>3980</v>
      </c>
      <c r="E40" s="84">
        <f>E41</f>
        <v>507.6</v>
      </c>
      <c r="F40" s="82">
        <f t="shared" si="0"/>
        <v>15.289156626506026</v>
      </c>
      <c r="G40" s="82">
        <f t="shared" si="1"/>
        <v>12.753768844221106</v>
      </c>
    </row>
    <row r="41" spans="2:7" x14ac:dyDescent="0.25">
      <c r="B41" s="27" t="s">
        <v>119</v>
      </c>
      <c r="C41" s="90">
        <v>3320</v>
      </c>
      <c r="D41" s="70">
        <v>3980</v>
      </c>
      <c r="E41" s="85">
        <v>507.6</v>
      </c>
      <c r="F41" s="82">
        <f t="shared" si="0"/>
        <v>15.289156626506026</v>
      </c>
      <c r="G41" s="82">
        <f t="shared" si="1"/>
        <v>12.753768844221106</v>
      </c>
    </row>
    <row r="42" spans="2:7" s="56" customFormat="1" x14ac:dyDescent="0.25">
      <c r="B42" s="10" t="s">
        <v>127</v>
      </c>
      <c r="C42" s="107">
        <f>C43+C44+C45</f>
        <v>1288599.52</v>
      </c>
      <c r="D42" s="71">
        <f>SUM(D43:D45)</f>
        <v>3206750</v>
      </c>
      <c r="E42" s="84">
        <f>E43+E44+E45</f>
        <v>1696697.93</v>
      </c>
      <c r="F42" s="82">
        <f t="shared" si="0"/>
        <v>131.66991789660142</v>
      </c>
      <c r="G42" s="82">
        <f t="shared" si="1"/>
        <v>52.910202853356203</v>
      </c>
    </row>
    <row r="43" spans="2:7" x14ac:dyDescent="0.25">
      <c r="B43" s="25" t="s">
        <v>128</v>
      </c>
      <c r="C43" s="90">
        <v>1280669</v>
      </c>
      <c r="D43" s="70">
        <v>3117800</v>
      </c>
      <c r="E43" s="85">
        <f>1653643.66-1578.88</f>
        <v>1652064.78</v>
      </c>
      <c r="F43" s="82">
        <f t="shared" si="0"/>
        <v>129.00013820901418</v>
      </c>
      <c r="G43" s="82">
        <f t="shared" si="1"/>
        <v>52.988157675283851</v>
      </c>
    </row>
    <row r="44" spans="2:7" x14ac:dyDescent="0.25">
      <c r="B44" s="26" t="s">
        <v>129</v>
      </c>
      <c r="C44" s="90">
        <v>7930.52</v>
      </c>
      <c r="D44" s="70">
        <v>37540</v>
      </c>
      <c r="E44" s="85">
        <v>28148.19</v>
      </c>
      <c r="F44" s="82">
        <f t="shared" si="0"/>
        <v>354.93498534774511</v>
      </c>
      <c r="G44" s="82">
        <f t="shared" si="1"/>
        <v>74.981859350026639</v>
      </c>
    </row>
    <row r="45" spans="2:7" x14ac:dyDescent="0.25">
      <c r="B45" s="26" t="s">
        <v>130</v>
      </c>
      <c r="C45" s="90">
        <v>0</v>
      </c>
      <c r="D45" s="70">
        <v>51410</v>
      </c>
      <c r="E45" s="85">
        <f>41484.96-25000</f>
        <v>16484.96</v>
      </c>
      <c r="F45" s="86" t="s">
        <v>116</v>
      </c>
      <c r="G45" s="82">
        <f t="shared" si="1"/>
        <v>32.065668157945929</v>
      </c>
    </row>
    <row r="46" spans="2:7" s="56" customFormat="1" ht="25.5" x14ac:dyDescent="0.25">
      <c r="B46" s="10" t="s">
        <v>131</v>
      </c>
      <c r="C46" s="107">
        <f>C47</f>
        <v>241.59</v>
      </c>
      <c r="D46" s="71">
        <f>D47</f>
        <v>100</v>
      </c>
      <c r="E46" s="84">
        <f>E47</f>
        <v>67.42</v>
      </c>
      <c r="F46" s="82">
        <f t="shared" si="0"/>
        <v>27.906784221201207</v>
      </c>
      <c r="G46" s="82">
        <f t="shared" si="1"/>
        <v>67.42</v>
      </c>
    </row>
    <row r="47" spans="2:7" ht="25.5" x14ac:dyDescent="0.25">
      <c r="B47" s="27" t="s">
        <v>132</v>
      </c>
      <c r="C47" s="90">
        <v>241.59</v>
      </c>
      <c r="D47" s="70">
        <v>100</v>
      </c>
      <c r="E47" s="85">
        <v>67.42</v>
      </c>
      <c r="F47" s="82">
        <f t="shared" si="0"/>
        <v>27.906784221201207</v>
      </c>
      <c r="G47" s="82">
        <f t="shared" si="1"/>
        <v>67.42</v>
      </c>
    </row>
    <row r="48" spans="2:7" s="56" customFormat="1" x14ac:dyDescent="0.25">
      <c r="B48" s="10" t="s">
        <v>120</v>
      </c>
      <c r="C48" s="107">
        <f>C49+C50+C51+C53</f>
        <v>184027.83000000002</v>
      </c>
      <c r="D48" s="71">
        <f>D49+D50+D51</f>
        <v>50000</v>
      </c>
      <c r="E48" s="84">
        <f>E49+E50+E51+E53+E52</f>
        <v>36680.43</v>
      </c>
      <c r="F48" s="82">
        <f t="shared" si="0"/>
        <v>19.932001589107472</v>
      </c>
      <c r="G48" s="82">
        <f t="shared" si="1"/>
        <v>73.360860000000002</v>
      </c>
    </row>
    <row r="49" spans="2:10" x14ac:dyDescent="0.25">
      <c r="B49" s="26" t="s">
        <v>133</v>
      </c>
      <c r="C49" s="90">
        <v>43444.76</v>
      </c>
      <c r="D49" s="70">
        <v>0</v>
      </c>
      <c r="E49" s="85">
        <v>1578.88</v>
      </c>
      <c r="F49" s="82">
        <f t="shared" si="0"/>
        <v>3.6342242424633029</v>
      </c>
      <c r="G49" s="86" t="s">
        <v>116</v>
      </c>
    </row>
    <row r="50" spans="2:10" x14ac:dyDescent="0.25">
      <c r="B50" s="26" t="s">
        <v>134</v>
      </c>
      <c r="C50" s="90">
        <v>131076.48000000001</v>
      </c>
      <c r="D50" s="70">
        <v>50000</v>
      </c>
      <c r="E50" s="85">
        <v>25000</v>
      </c>
      <c r="F50" s="82">
        <f t="shared" si="0"/>
        <v>19.072834424604626</v>
      </c>
      <c r="G50" s="82">
        <f t="shared" si="1"/>
        <v>50</v>
      </c>
    </row>
    <row r="51" spans="2:10" x14ac:dyDescent="0.25">
      <c r="B51" s="26" t="s">
        <v>175</v>
      </c>
      <c r="C51" s="90">
        <f>8496.63+598.46</f>
        <v>9095.09</v>
      </c>
      <c r="D51" s="70">
        <v>0</v>
      </c>
      <c r="E51" s="85">
        <f>8635.62+1166</f>
        <v>9801.6200000000008</v>
      </c>
      <c r="F51" s="86" t="s">
        <v>116</v>
      </c>
      <c r="G51" s="86" t="s">
        <v>116</v>
      </c>
    </row>
    <row r="52" spans="2:10" x14ac:dyDescent="0.25">
      <c r="B52" s="26" t="s">
        <v>242</v>
      </c>
      <c r="C52" s="90">
        <v>0</v>
      </c>
      <c r="D52" s="70">
        <v>0</v>
      </c>
      <c r="E52" s="115">
        <v>299.93</v>
      </c>
      <c r="F52" s="86" t="s">
        <v>116</v>
      </c>
      <c r="G52" s="86" t="s">
        <v>116</v>
      </c>
    </row>
    <row r="53" spans="2:10" x14ac:dyDescent="0.25">
      <c r="B53" s="26" t="s">
        <v>221</v>
      </c>
      <c r="C53" s="90">
        <v>411.5</v>
      </c>
      <c r="D53" s="70">
        <v>0</v>
      </c>
      <c r="E53" s="85">
        <v>0</v>
      </c>
      <c r="F53" s="86" t="s">
        <v>116</v>
      </c>
      <c r="G53" s="86" t="s">
        <v>116</v>
      </c>
    </row>
    <row r="55" spans="2:10" ht="15" customHeight="1" x14ac:dyDescent="0.25">
      <c r="B55" s="35"/>
      <c r="C55" s="35"/>
      <c r="D55" s="35"/>
      <c r="E55" s="35"/>
      <c r="F55" s="35"/>
      <c r="G55" s="35"/>
      <c r="H55" s="35"/>
      <c r="I55" s="35"/>
      <c r="J55" s="35"/>
    </row>
    <row r="56" spans="2:10" x14ac:dyDescent="0.25">
      <c r="B56" s="35"/>
      <c r="C56" s="35"/>
      <c r="D56" s="35"/>
      <c r="E56" s="35"/>
      <c r="F56" s="35"/>
      <c r="G56" s="35"/>
      <c r="H56" s="35"/>
      <c r="I56" s="35"/>
      <c r="J56" s="35"/>
    </row>
    <row r="57" spans="2:10" x14ac:dyDescent="0.25">
      <c r="B57" s="35"/>
      <c r="C57" s="35"/>
      <c r="D57" s="35"/>
      <c r="E57" s="35"/>
      <c r="F57" s="35"/>
      <c r="G57" s="35"/>
      <c r="H57" s="35"/>
      <c r="I57" s="35"/>
      <c r="J57" s="35"/>
    </row>
  </sheetData>
  <mergeCells count="2">
    <mergeCell ref="B4:G4"/>
    <mergeCell ref="B2:C2"/>
  </mergeCells>
  <pageMargins left="0.7" right="0.7" top="0.75" bottom="0.75" header="0.3" footer="0.3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workbookViewId="0">
      <selection activeCell="E33" sqref="E3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2" spans="2:7" ht="15.75" x14ac:dyDescent="0.25">
      <c r="B2" s="52" t="s">
        <v>75</v>
      </c>
    </row>
    <row r="3" spans="2:7" ht="18" x14ac:dyDescent="0.25">
      <c r="B3" s="3"/>
      <c r="C3" s="3"/>
      <c r="D3" s="3"/>
      <c r="E3" s="4"/>
      <c r="F3" s="4"/>
      <c r="G3" s="4"/>
    </row>
    <row r="4" spans="2:7" ht="15.75" customHeight="1" x14ac:dyDescent="0.25">
      <c r="B4" s="120" t="s">
        <v>48</v>
      </c>
      <c r="C4" s="120"/>
      <c r="D4" s="120"/>
      <c r="E4" s="120"/>
      <c r="F4" s="120"/>
      <c r="G4" s="120"/>
    </row>
    <row r="5" spans="2:7" ht="18" x14ac:dyDescent="0.25">
      <c r="B5" s="3"/>
      <c r="C5" s="3"/>
      <c r="D5" s="3"/>
      <c r="E5" s="4"/>
      <c r="F5" s="4"/>
      <c r="G5" s="4"/>
    </row>
    <row r="6" spans="2:7" ht="33.75" customHeight="1" x14ac:dyDescent="0.25">
      <c r="B6" s="39" t="s">
        <v>8</v>
      </c>
      <c r="C6" s="39" t="s">
        <v>235</v>
      </c>
      <c r="D6" s="39" t="s">
        <v>231</v>
      </c>
      <c r="E6" s="39" t="s">
        <v>234</v>
      </c>
      <c r="F6" s="39" t="s">
        <v>30</v>
      </c>
      <c r="G6" s="39" t="s">
        <v>62</v>
      </c>
    </row>
    <row r="7" spans="2:7" x14ac:dyDescent="0.25">
      <c r="B7" s="39">
        <v>1</v>
      </c>
      <c r="C7" s="42">
        <v>2</v>
      </c>
      <c r="D7" s="42">
        <v>3</v>
      </c>
      <c r="E7" s="42">
        <v>4</v>
      </c>
      <c r="F7" s="42" t="s">
        <v>124</v>
      </c>
      <c r="G7" s="42" t="s">
        <v>176</v>
      </c>
    </row>
    <row r="8" spans="2:7" x14ac:dyDescent="0.25">
      <c r="B8" s="10" t="s">
        <v>58</v>
      </c>
      <c r="C8" s="80">
        <f>C9+C12+C14</f>
        <v>116840.38</v>
      </c>
      <c r="D8" s="59">
        <f>D9+D12+D14</f>
        <v>190560.9</v>
      </c>
      <c r="E8" s="80">
        <f>E9+E12+E14+E16</f>
        <v>124322.16</v>
      </c>
      <c r="F8" s="82">
        <f t="shared" ref="F8:F32" si="0">E8/C8*100</f>
        <v>106.40341977662176</v>
      </c>
      <c r="G8" s="82">
        <f t="shared" ref="G8:G32" si="1">E8/D8*100</f>
        <v>65.24012008759405</v>
      </c>
    </row>
    <row r="9" spans="2:7" x14ac:dyDescent="0.25">
      <c r="B9" s="10" t="s">
        <v>18</v>
      </c>
      <c r="C9" s="77">
        <f>C11</f>
        <v>57124.35</v>
      </c>
      <c r="D9" s="60">
        <f>D11</f>
        <v>89060.9</v>
      </c>
      <c r="E9" s="81">
        <f>E11+E10</f>
        <v>58423.92</v>
      </c>
      <c r="F9" s="82">
        <f t="shared" si="0"/>
        <v>102.27498431054359</v>
      </c>
      <c r="G9" s="82">
        <f t="shared" si="1"/>
        <v>65.599965866053452</v>
      </c>
    </row>
    <row r="10" spans="2:7" x14ac:dyDescent="0.25">
      <c r="B10" s="25" t="s">
        <v>19</v>
      </c>
      <c r="C10" s="79">
        <v>0</v>
      </c>
      <c r="D10" s="8">
        <v>0</v>
      </c>
      <c r="E10" s="82">
        <v>658.83</v>
      </c>
      <c r="F10" s="86" t="s">
        <v>116</v>
      </c>
      <c r="G10" s="86" t="s">
        <v>116</v>
      </c>
    </row>
    <row r="11" spans="2:7" x14ac:dyDescent="0.25">
      <c r="B11" s="25" t="s">
        <v>117</v>
      </c>
      <c r="C11" s="79">
        <v>57124.35</v>
      </c>
      <c r="D11" s="8">
        <v>89060.9</v>
      </c>
      <c r="E11" s="82">
        <v>57765.09</v>
      </c>
      <c r="F11" s="82">
        <f t="shared" si="0"/>
        <v>101.12165827707449</v>
      </c>
      <c r="G11" s="82">
        <f t="shared" si="1"/>
        <v>64.860213629100983</v>
      </c>
    </row>
    <row r="12" spans="2:7" x14ac:dyDescent="0.25">
      <c r="B12" s="10" t="s">
        <v>24</v>
      </c>
      <c r="C12" s="77">
        <f>C13</f>
        <v>3394.06</v>
      </c>
      <c r="D12" s="60">
        <f>D13</f>
        <v>4500</v>
      </c>
      <c r="E12" s="81">
        <f>E13</f>
        <v>5090.8900000000003</v>
      </c>
      <c r="F12" s="82">
        <f t="shared" si="0"/>
        <v>149.99410735225661</v>
      </c>
      <c r="G12" s="82">
        <f t="shared" si="1"/>
        <v>113.13088888888889</v>
      </c>
    </row>
    <row r="13" spans="2:7" x14ac:dyDescent="0.25">
      <c r="B13" s="27" t="s">
        <v>25</v>
      </c>
      <c r="C13" s="79">
        <v>3394.06</v>
      </c>
      <c r="D13" s="8">
        <v>4500</v>
      </c>
      <c r="E13" s="82">
        <v>5090.8900000000003</v>
      </c>
      <c r="F13" s="82">
        <f t="shared" si="0"/>
        <v>149.99410735225661</v>
      </c>
      <c r="G13" s="82">
        <f t="shared" si="1"/>
        <v>113.13088888888889</v>
      </c>
    </row>
    <row r="14" spans="2:7" x14ac:dyDescent="0.25">
      <c r="B14" s="10" t="s">
        <v>118</v>
      </c>
      <c r="C14" s="77">
        <f>C15</f>
        <v>56321.97</v>
      </c>
      <c r="D14" s="60">
        <f>D15</f>
        <v>97000</v>
      </c>
      <c r="E14" s="81">
        <f>E15</f>
        <v>60807.35</v>
      </c>
      <c r="F14" s="82">
        <f t="shared" si="0"/>
        <v>107.96381944736662</v>
      </c>
      <c r="G14" s="82">
        <f t="shared" si="1"/>
        <v>62.687989690721643</v>
      </c>
    </row>
    <row r="15" spans="2:7" x14ac:dyDescent="0.25">
      <c r="B15" s="27" t="s">
        <v>119</v>
      </c>
      <c r="C15" s="79">
        <v>56321.97</v>
      </c>
      <c r="D15" s="8">
        <v>97000</v>
      </c>
      <c r="E15" s="82">
        <v>60807.35</v>
      </c>
      <c r="F15" s="82">
        <f t="shared" si="0"/>
        <v>107.96381944736662</v>
      </c>
      <c r="G15" s="82">
        <f t="shared" si="1"/>
        <v>62.687989690721643</v>
      </c>
    </row>
    <row r="16" spans="2:7" s="56" customFormat="1" x14ac:dyDescent="0.25">
      <c r="B16" s="10" t="s">
        <v>127</v>
      </c>
      <c r="C16" s="77">
        <f>C17</f>
        <v>0</v>
      </c>
      <c r="D16" s="71">
        <f>D17</f>
        <v>0</v>
      </c>
      <c r="E16" s="84">
        <f>E17</f>
        <v>0</v>
      </c>
      <c r="F16" s="86" t="s">
        <v>116</v>
      </c>
      <c r="G16" s="86" t="s">
        <v>116</v>
      </c>
    </row>
    <row r="17" spans="2:7" x14ac:dyDescent="0.25">
      <c r="B17" s="25" t="s">
        <v>128</v>
      </c>
      <c r="C17" s="79">
        <v>0</v>
      </c>
      <c r="D17" s="70">
        <v>0</v>
      </c>
      <c r="E17" s="85">
        <v>0</v>
      </c>
      <c r="F17" s="86" t="s">
        <v>116</v>
      </c>
      <c r="G17" s="86" t="s">
        <v>116</v>
      </c>
    </row>
    <row r="18" spans="2:7" x14ac:dyDescent="0.25">
      <c r="B18" s="10" t="s">
        <v>120</v>
      </c>
      <c r="C18" s="77">
        <f>C19</f>
        <v>52216.02</v>
      </c>
      <c r="D18" s="60">
        <f>D19</f>
        <v>50000</v>
      </c>
      <c r="E18" s="81">
        <f>E19+E20</f>
        <v>77160</v>
      </c>
      <c r="F18" s="82">
        <f t="shared" si="0"/>
        <v>147.77074162297319</v>
      </c>
      <c r="G18" s="82">
        <f t="shared" si="1"/>
        <v>154.32</v>
      </c>
    </row>
    <row r="19" spans="2:7" x14ac:dyDescent="0.25">
      <c r="B19" s="27" t="s">
        <v>121</v>
      </c>
      <c r="C19" s="79">
        <v>52216.02</v>
      </c>
      <c r="D19" s="8">
        <v>50000</v>
      </c>
      <c r="E19" s="82">
        <v>75060</v>
      </c>
      <c r="F19" s="82">
        <f t="shared" si="0"/>
        <v>143.74898737973518</v>
      </c>
      <c r="G19" s="82">
        <f t="shared" si="1"/>
        <v>150.12</v>
      </c>
    </row>
    <row r="20" spans="2:7" x14ac:dyDescent="0.25">
      <c r="B20" s="27" t="s">
        <v>133</v>
      </c>
      <c r="C20" s="79">
        <v>0</v>
      </c>
      <c r="D20" s="8">
        <v>0</v>
      </c>
      <c r="E20" s="82">
        <v>2100</v>
      </c>
      <c r="F20" s="86" t="s">
        <v>116</v>
      </c>
      <c r="G20" s="86" t="s">
        <v>116</v>
      </c>
    </row>
    <row r="21" spans="2:7" x14ac:dyDescent="0.25">
      <c r="B21" s="10" t="s">
        <v>86</v>
      </c>
      <c r="C21" s="77">
        <f>C8+C18</f>
        <v>169056.4</v>
      </c>
      <c r="D21" s="60">
        <f>D8+D18</f>
        <v>240560.9</v>
      </c>
      <c r="E21" s="81">
        <f>E8+E18</f>
        <v>201482.16</v>
      </c>
      <c r="F21" s="82">
        <f t="shared" si="0"/>
        <v>119.18043919070796</v>
      </c>
      <c r="G21" s="82">
        <f t="shared" si="1"/>
        <v>83.755157217985129</v>
      </c>
    </row>
    <row r="22" spans="2:7" x14ac:dyDescent="0.25">
      <c r="B22" s="27"/>
      <c r="C22" s="79"/>
      <c r="D22" s="8"/>
      <c r="E22" s="82"/>
      <c r="F22" s="82"/>
      <c r="G22" s="82"/>
    </row>
    <row r="23" spans="2:7" ht="15.75" customHeight="1" x14ac:dyDescent="0.25">
      <c r="B23" s="10" t="s">
        <v>59</v>
      </c>
      <c r="C23" s="77">
        <f>C24+C27+C29+C31</f>
        <v>84339.109999999986</v>
      </c>
      <c r="D23" s="60">
        <f>D24+D27+D29+D31</f>
        <v>240560.9</v>
      </c>
      <c r="E23" s="81">
        <f>E24+E27+E29+E31</f>
        <v>81681.36</v>
      </c>
      <c r="F23" s="82">
        <f t="shared" si="0"/>
        <v>96.848733642078997</v>
      </c>
      <c r="G23" s="82">
        <f t="shared" si="1"/>
        <v>33.954545397859754</v>
      </c>
    </row>
    <row r="24" spans="2:7" ht="15.75" customHeight="1" x14ac:dyDescent="0.25">
      <c r="B24" s="10" t="s">
        <v>18</v>
      </c>
      <c r="C24" s="77">
        <f>C26</f>
        <v>60543.45</v>
      </c>
      <c r="D24" s="60">
        <f>D26</f>
        <v>89060.9</v>
      </c>
      <c r="E24" s="81">
        <f>E26+E25</f>
        <v>62585.69</v>
      </c>
      <c r="F24" s="82">
        <f t="shared" si="0"/>
        <v>103.37318074870197</v>
      </c>
      <c r="G24" s="82">
        <f t="shared" si="1"/>
        <v>70.272914376567059</v>
      </c>
    </row>
    <row r="25" spans="2:7" x14ac:dyDescent="0.25">
      <c r="B25" s="25" t="s">
        <v>19</v>
      </c>
      <c r="C25" s="79">
        <v>0</v>
      </c>
      <c r="D25" s="8">
        <v>0</v>
      </c>
      <c r="E25" s="82">
        <v>581.67999999999995</v>
      </c>
      <c r="F25" s="86" t="s">
        <v>116</v>
      </c>
      <c r="G25" s="86" t="s">
        <v>116</v>
      </c>
    </row>
    <row r="26" spans="2:7" x14ac:dyDescent="0.25">
      <c r="B26" s="25" t="s">
        <v>117</v>
      </c>
      <c r="C26" s="79">
        <v>60543.45</v>
      </c>
      <c r="D26" s="8">
        <v>89060.9</v>
      </c>
      <c r="E26" s="82">
        <v>62004.01</v>
      </c>
      <c r="F26" s="82">
        <f t="shared" si="0"/>
        <v>102.41241620687292</v>
      </c>
      <c r="G26" s="82">
        <f t="shared" si="1"/>
        <v>69.6197882572487</v>
      </c>
    </row>
    <row r="27" spans="2:7" x14ac:dyDescent="0.25">
      <c r="B27" s="10" t="s">
        <v>24</v>
      </c>
      <c r="C27" s="77">
        <f>C28</f>
        <v>1039.6300000000001</v>
      </c>
      <c r="D27" s="60">
        <f>D28</f>
        <v>4500</v>
      </c>
      <c r="E27" s="81">
        <f>E28</f>
        <v>1127.47</v>
      </c>
      <c r="F27" s="82">
        <f t="shared" si="0"/>
        <v>108.44915979723555</v>
      </c>
      <c r="G27" s="82">
        <f t="shared" si="1"/>
        <v>25.054888888888886</v>
      </c>
    </row>
    <row r="28" spans="2:7" x14ac:dyDescent="0.25">
      <c r="B28" s="27" t="s">
        <v>25</v>
      </c>
      <c r="C28" s="79">
        <v>1039.6300000000001</v>
      </c>
      <c r="D28" s="8">
        <v>4500</v>
      </c>
      <c r="E28" s="82">
        <v>1127.47</v>
      </c>
      <c r="F28" s="82">
        <f t="shared" si="0"/>
        <v>108.44915979723555</v>
      </c>
      <c r="G28" s="82">
        <f t="shared" si="1"/>
        <v>25.054888888888886</v>
      </c>
    </row>
    <row r="29" spans="2:7" x14ac:dyDescent="0.25">
      <c r="B29" s="10" t="s">
        <v>122</v>
      </c>
      <c r="C29" s="77">
        <f>C30</f>
        <v>0</v>
      </c>
      <c r="D29" s="60">
        <f>D30</f>
        <v>97000</v>
      </c>
      <c r="E29" s="81">
        <f>E30</f>
        <v>7068.2</v>
      </c>
      <c r="F29" s="86" t="s">
        <v>116</v>
      </c>
      <c r="G29" s="82">
        <f t="shared" si="1"/>
        <v>7.2868041237113408</v>
      </c>
    </row>
    <row r="30" spans="2:7" x14ac:dyDescent="0.25">
      <c r="B30" s="27" t="s">
        <v>119</v>
      </c>
      <c r="C30" s="79">
        <v>0</v>
      </c>
      <c r="D30" s="8">
        <v>97000</v>
      </c>
      <c r="E30" s="82">
        <v>7068.2</v>
      </c>
      <c r="F30" s="86" t="s">
        <v>116</v>
      </c>
      <c r="G30" s="82">
        <f t="shared" si="1"/>
        <v>7.2868041237113408</v>
      </c>
    </row>
    <row r="31" spans="2:7" x14ac:dyDescent="0.25">
      <c r="B31" s="10" t="s">
        <v>120</v>
      </c>
      <c r="C31" s="77">
        <f>C32</f>
        <v>22756.03</v>
      </c>
      <c r="D31" s="60">
        <f>D32</f>
        <v>50000</v>
      </c>
      <c r="E31" s="81">
        <f>E32+E33</f>
        <v>10900</v>
      </c>
      <c r="F31" s="82">
        <f t="shared" si="0"/>
        <v>47.899391941388728</v>
      </c>
      <c r="G31" s="82">
        <f t="shared" si="1"/>
        <v>21.8</v>
      </c>
    </row>
    <row r="32" spans="2:7" x14ac:dyDescent="0.25">
      <c r="B32" s="27" t="s">
        <v>121</v>
      </c>
      <c r="C32" s="79">
        <v>22756.03</v>
      </c>
      <c r="D32" s="8">
        <v>50000</v>
      </c>
      <c r="E32" s="82">
        <v>8800</v>
      </c>
      <c r="F32" s="82">
        <f t="shared" si="0"/>
        <v>38.671068723323003</v>
      </c>
      <c r="G32" s="82">
        <f t="shared" si="1"/>
        <v>17.599999999999998</v>
      </c>
    </row>
    <row r="33" spans="2:10" x14ac:dyDescent="0.25">
      <c r="B33" s="27" t="s">
        <v>133</v>
      </c>
      <c r="C33" s="79">
        <v>0</v>
      </c>
      <c r="D33" s="8">
        <v>0</v>
      </c>
      <c r="E33" s="82">
        <v>2100</v>
      </c>
      <c r="F33" s="86" t="s">
        <v>116</v>
      </c>
      <c r="G33" s="86" t="s">
        <v>116</v>
      </c>
    </row>
    <row r="35" spans="2:10" ht="15" customHeight="1" x14ac:dyDescent="0.25">
      <c r="B35" s="35"/>
      <c r="C35" s="35"/>
      <c r="D35" s="35"/>
      <c r="E35" s="35"/>
      <c r="F35" s="35"/>
      <c r="G35" s="35"/>
      <c r="H35" s="35"/>
      <c r="I35" s="35"/>
      <c r="J35" s="35"/>
    </row>
    <row r="36" spans="2:10" x14ac:dyDescent="0.25">
      <c r="B36" s="35"/>
      <c r="C36" s="35"/>
      <c r="D36" s="35"/>
      <c r="E36" s="35"/>
      <c r="F36" s="35"/>
      <c r="G36" s="35"/>
      <c r="H36" s="35"/>
      <c r="I36" s="35"/>
      <c r="J36" s="35"/>
    </row>
    <row r="37" spans="2:10" x14ac:dyDescent="0.25">
      <c r="B37" s="35"/>
      <c r="C37" s="35"/>
      <c r="D37" s="35"/>
      <c r="E37" s="35"/>
      <c r="F37" s="35"/>
      <c r="G37" s="35"/>
      <c r="H37" s="35"/>
      <c r="I37" s="35"/>
      <c r="J37" s="35"/>
    </row>
  </sheetData>
  <mergeCells count="1">
    <mergeCell ref="B4:G4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"/>
  <sheetViews>
    <sheetView workbookViewId="0">
      <selection activeCell="E13" sqref="E1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2" spans="2:7" x14ac:dyDescent="0.25">
      <c r="B2" s="64" t="s">
        <v>204</v>
      </c>
    </row>
    <row r="3" spans="2:7" ht="18" x14ac:dyDescent="0.25">
      <c r="B3" s="3"/>
      <c r="C3" s="3"/>
      <c r="D3" s="3"/>
      <c r="E3" s="4"/>
      <c r="F3" s="4"/>
      <c r="G3" s="4"/>
    </row>
    <row r="4" spans="2:7" ht="15.75" customHeight="1" x14ac:dyDescent="0.25">
      <c r="B4" s="120" t="s">
        <v>49</v>
      </c>
      <c r="C4" s="120"/>
      <c r="D4" s="120"/>
      <c r="E4" s="120"/>
      <c r="F4" s="120"/>
      <c r="G4" s="120"/>
    </row>
    <row r="5" spans="2:7" ht="18" x14ac:dyDescent="0.25">
      <c r="B5" s="3"/>
      <c r="C5" s="3"/>
      <c r="D5" s="3"/>
      <c r="E5" s="4"/>
      <c r="F5" s="4"/>
      <c r="G5" s="4"/>
    </row>
    <row r="6" spans="2:7" ht="25.5" x14ac:dyDescent="0.25">
      <c r="B6" s="39" t="s">
        <v>8</v>
      </c>
      <c r="C6" s="39" t="s">
        <v>236</v>
      </c>
      <c r="D6" s="39" t="s">
        <v>231</v>
      </c>
      <c r="E6" s="39" t="s">
        <v>237</v>
      </c>
      <c r="F6" s="39" t="s">
        <v>30</v>
      </c>
      <c r="G6" s="39" t="s">
        <v>62</v>
      </c>
    </row>
    <row r="7" spans="2:7" x14ac:dyDescent="0.25">
      <c r="B7" s="42">
        <v>1</v>
      </c>
      <c r="C7" s="42">
        <v>2</v>
      </c>
      <c r="D7" s="42">
        <v>3</v>
      </c>
      <c r="E7" s="42">
        <v>4</v>
      </c>
      <c r="F7" s="42" t="s">
        <v>124</v>
      </c>
      <c r="G7" s="42" t="s">
        <v>176</v>
      </c>
    </row>
    <row r="8" spans="2:7" s="56" customFormat="1" ht="15.75" customHeight="1" x14ac:dyDescent="0.25">
      <c r="B8" s="10" t="s">
        <v>59</v>
      </c>
      <c r="C8" s="77">
        <f>C9</f>
        <v>1758263.4300000002</v>
      </c>
      <c r="D8" s="60">
        <f>D9</f>
        <v>3803356.9</v>
      </c>
      <c r="E8" s="81">
        <f>E9</f>
        <v>2006740.9600000002</v>
      </c>
      <c r="F8" s="87">
        <f>E8/C8*100</f>
        <v>114.13198533054856</v>
      </c>
      <c r="G8" s="87">
        <f>E8/D8*100</f>
        <v>52.762362638121083</v>
      </c>
    </row>
    <row r="9" spans="2:7" s="56" customFormat="1" ht="15.75" customHeight="1" x14ac:dyDescent="0.25">
      <c r="B9" s="10" t="s">
        <v>205</v>
      </c>
      <c r="C9" s="77">
        <f>C10+C11</f>
        <v>1758263.4300000002</v>
      </c>
      <c r="D9" s="60">
        <f>D10+D11</f>
        <v>3803356.9</v>
      </c>
      <c r="E9" s="81">
        <f>E10+E11</f>
        <v>2006740.9600000002</v>
      </c>
      <c r="F9" s="87">
        <f t="shared" ref="F9:F11" si="0">E9/C9*100</f>
        <v>114.13198533054856</v>
      </c>
      <c r="G9" s="87">
        <f t="shared" ref="G9:G11" si="1">E9/D9*100</f>
        <v>52.762362638121083</v>
      </c>
    </row>
    <row r="10" spans="2:7" x14ac:dyDescent="0.25">
      <c r="B10" s="16" t="s">
        <v>207</v>
      </c>
      <c r="C10" s="79">
        <v>1673924.32</v>
      </c>
      <c r="D10" s="8">
        <v>3562796</v>
      </c>
      <c r="E10" s="82">
        <v>1925059.6</v>
      </c>
      <c r="F10" s="88">
        <f t="shared" si="0"/>
        <v>115.00278578902541</v>
      </c>
      <c r="G10" s="88">
        <f t="shared" si="1"/>
        <v>54.032271283564938</v>
      </c>
    </row>
    <row r="11" spans="2:7" x14ac:dyDescent="0.25">
      <c r="B11" s="24" t="s">
        <v>206</v>
      </c>
      <c r="C11" s="79">
        <v>84339.11</v>
      </c>
      <c r="D11" s="8">
        <v>240560.9</v>
      </c>
      <c r="E11" s="82">
        <v>81681.36</v>
      </c>
      <c r="F11" s="88">
        <f t="shared" si="0"/>
        <v>96.848733642078983</v>
      </c>
      <c r="G11" s="88">
        <f t="shared" si="1"/>
        <v>33.954545397859754</v>
      </c>
    </row>
    <row r="13" spans="2:7" x14ac:dyDescent="0.25">
      <c r="B13" s="35"/>
      <c r="C13" s="35"/>
      <c r="D13" s="35"/>
      <c r="E13" s="35"/>
      <c r="F13" s="35"/>
      <c r="G13" s="35"/>
    </row>
    <row r="14" spans="2:7" x14ac:dyDescent="0.25">
      <c r="B14" s="35"/>
      <c r="C14" s="35"/>
      <c r="D14" s="35"/>
      <c r="E14" s="35"/>
      <c r="F14" s="35"/>
      <c r="G14" s="35"/>
    </row>
    <row r="15" spans="2:7" x14ac:dyDescent="0.25">
      <c r="B15" s="35"/>
      <c r="C15" s="35"/>
      <c r="D15" s="35"/>
      <c r="E15" s="35"/>
      <c r="F15" s="35"/>
      <c r="G15" s="35"/>
    </row>
  </sheetData>
  <mergeCells count="1">
    <mergeCell ref="B4:G4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0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20" t="s">
        <v>65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5.75" customHeight="1" x14ac:dyDescent="0.25">
      <c r="B5" s="120" t="s">
        <v>50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52" t="s">
        <v>8</v>
      </c>
      <c r="C7" s="153"/>
      <c r="D7" s="153"/>
      <c r="E7" s="153"/>
      <c r="F7" s="154"/>
      <c r="G7" s="43" t="s">
        <v>28</v>
      </c>
      <c r="H7" s="43" t="s">
        <v>64</v>
      </c>
      <c r="I7" s="43" t="s">
        <v>61</v>
      </c>
      <c r="J7" s="43" t="s">
        <v>29</v>
      </c>
      <c r="K7" s="43" t="s">
        <v>30</v>
      </c>
      <c r="L7" s="43" t="s">
        <v>62</v>
      </c>
    </row>
    <row r="8" spans="2:12" x14ac:dyDescent="0.25">
      <c r="B8" s="152">
        <v>1</v>
      </c>
      <c r="C8" s="153"/>
      <c r="D8" s="153"/>
      <c r="E8" s="153"/>
      <c r="F8" s="154"/>
      <c r="G8" s="44">
        <v>2</v>
      </c>
      <c r="H8" s="44">
        <v>3</v>
      </c>
      <c r="I8" s="44">
        <v>4</v>
      </c>
      <c r="J8" s="44">
        <v>5</v>
      </c>
      <c r="K8" s="44" t="s">
        <v>45</v>
      </c>
      <c r="L8" s="44" t="s">
        <v>46</v>
      </c>
    </row>
    <row r="9" spans="2:12" ht="25.5" x14ac:dyDescent="0.25">
      <c r="B9" s="10">
        <v>8</v>
      </c>
      <c r="C9" s="10"/>
      <c r="D9" s="10"/>
      <c r="E9" s="10"/>
      <c r="F9" s="10" t="s">
        <v>9</v>
      </c>
      <c r="G9" s="8"/>
      <c r="H9" s="8"/>
      <c r="I9" s="8"/>
      <c r="J9" s="32"/>
      <c r="K9" s="32"/>
      <c r="L9" s="32"/>
    </row>
    <row r="10" spans="2:12" x14ac:dyDescent="0.25">
      <c r="B10" s="10"/>
      <c r="C10" s="14">
        <v>84</v>
      </c>
      <c r="D10" s="14"/>
      <c r="E10" s="14"/>
      <c r="F10" s="14" t="s">
        <v>14</v>
      </c>
      <c r="G10" s="8"/>
      <c r="H10" s="8"/>
      <c r="I10" s="8"/>
      <c r="J10" s="32"/>
      <c r="K10" s="32"/>
      <c r="L10" s="32"/>
    </row>
    <row r="11" spans="2:12" ht="51" x14ac:dyDescent="0.25">
      <c r="B11" s="11"/>
      <c r="C11" s="11"/>
      <c r="D11" s="11">
        <v>841</v>
      </c>
      <c r="E11" s="11"/>
      <c r="F11" s="28" t="s">
        <v>51</v>
      </c>
      <c r="G11" s="8"/>
      <c r="H11" s="8"/>
      <c r="I11" s="8"/>
      <c r="J11" s="32"/>
      <c r="K11" s="32"/>
      <c r="L11" s="32"/>
    </row>
    <row r="12" spans="2:12" ht="25.5" x14ac:dyDescent="0.25">
      <c r="B12" s="11"/>
      <c r="C12" s="11"/>
      <c r="D12" s="11"/>
      <c r="E12" s="11">
        <v>8413</v>
      </c>
      <c r="F12" s="28" t="s">
        <v>52</v>
      </c>
      <c r="G12" s="8"/>
      <c r="H12" s="8"/>
      <c r="I12" s="8"/>
      <c r="J12" s="32"/>
      <c r="K12" s="32"/>
      <c r="L12" s="32"/>
    </row>
    <row r="13" spans="2:12" x14ac:dyDescent="0.25">
      <c r="B13" s="11"/>
      <c r="C13" s="11"/>
      <c r="D13" s="11"/>
      <c r="E13" s="12" t="s">
        <v>21</v>
      </c>
      <c r="F13" s="16"/>
      <c r="G13" s="8"/>
      <c r="H13" s="8"/>
      <c r="I13" s="8"/>
      <c r="J13" s="32"/>
      <c r="K13" s="32"/>
      <c r="L13" s="32"/>
    </row>
    <row r="14" spans="2:12" ht="25.5" x14ac:dyDescent="0.25">
      <c r="B14" s="13">
        <v>5</v>
      </c>
      <c r="C14" s="13"/>
      <c r="D14" s="13"/>
      <c r="E14" s="13"/>
      <c r="F14" s="17" t="s">
        <v>10</v>
      </c>
      <c r="G14" s="8"/>
      <c r="H14" s="8"/>
      <c r="I14" s="8"/>
      <c r="J14" s="32"/>
      <c r="K14" s="32"/>
      <c r="L14" s="32"/>
    </row>
    <row r="15" spans="2:12" ht="25.5" x14ac:dyDescent="0.25">
      <c r="B15" s="14"/>
      <c r="C15" s="14">
        <v>54</v>
      </c>
      <c r="D15" s="14"/>
      <c r="E15" s="14"/>
      <c r="F15" s="18" t="s">
        <v>15</v>
      </c>
      <c r="G15" s="8"/>
      <c r="H15" s="8"/>
      <c r="I15" s="9"/>
      <c r="J15" s="32"/>
      <c r="K15" s="32"/>
      <c r="L15" s="32"/>
    </row>
    <row r="16" spans="2:12" ht="63.75" x14ac:dyDescent="0.25">
      <c r="B16" s="14"/>
      <c r="C16" s="14"/>
      <c r="D16" s="14">
        <v>541</v>
      </c>
      <c r="E16" s="28"/>
      <c r="F16" s="28" t="s">
        <v>53</v>
      </c>
      <c r="G16" s="8"/>
      <c r="H16" s="8"/>
      <c r="I16" s="9"/>
      <c r="J16" s="32"/>
      <c r="K16" s="32"/>
      <c r="L16" s="32"/>
    </row>
    <row r="17" spans="2:12" ht="38.25" x14ac:dyDescent="0.25">
      <c r="B17" s="14"/>
      <c r="C17" s="14"/>
      <c r="D17" s="14"/>
      <c r="E17" s="28">
        <v>5413</v>
      </c>
      <c r="F17" s="28" t="s">
        <v>54</v>
      </c>
      <c r="G17" s="8"/>
      <c r="H17" s="8"/>
      <c r="I17" s="9"/>
      <c r="J17" s="32"/>
      <c r="K17" s="32"/>
      <c r="L17" s="32"/>
    </row>
    <row r="18" spans="2:12" x14ac:dyDescent="0.25">
      <c r="B18" s="15"/>
      <c r="C18" s="13"/>
      <c r="D18" s="13"/>
      <c r="E18" s="13"/>
      <c r="F18" s="17" t="s">
        <v>21</v>
      </c>
      <c r="G18" s="8"/>
      <c r="H18" s="8"/>
      <c r="I18" s="8"/>
      <c r="J18" s="32"/>
      <c r="K18" s="32"/>
      <c r="L18" s="32"/>
    </row>
    <row r="20" spans="2:12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F38" sqref="F3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0" t="s">
        <v>55</v>
      </c>
      <c r="C2" s="120"/>
      <c r="D2" s="120"/>
      <c r="E2" s="120"/>
      <c r="F2" s="120"/>
      <c r="G2" s="120"/>
      <c r="H2" s="12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9" t="s">
        <v>8</v>
      </c>
      <c r="C4" s="39" t="s">
        <v>67</v>
      </c>
      <c r="D4" s="39" t="s">
        <v>64</v>
      </c>
      <c r="E4" s="39" t="s">
        <v>61</v>
      </c>
      <c r="F4" s="39" t="s">
        <v>68</v>
      </c>
      <c r="G4" s="39" t="s">
        <v>30</v>
      </c>
      <c r="H4" s="39" t="s">
        <v>62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45</v>
      </c>
      <c r="H5" s="39" t="s">
        <v>46</v>
      </c>
    </row>
    <row r="6" spans="2:8" x14ac:dyDescent="0.25">
      <c r="B6" s="10" t="s">
        <v>56</v>
      </c>
      <c r="C6" s="8"/>
      <c r="D6" s="8"/>
      <c r="E6" s="9"/>
      <c r="F6" s="32"/>
      <c r="G6" s="32"/>
      <c r="H6" s="32"/>
    </row>
    <row r="7" spans="2:8" x14ac:dyDescent="0.25">
      <c r="B7" s="10" t="s">
        <v>18</v>
      </c>
      <c r="C7" s="8"/>
      <c r="D7" s="8"/>
      <c r="E7" s="8"/>
      <c r="F7" s="32"/>
      <c r="G7" s="32"/>
      <c r="H7" s="32"/>
    </row>
    <row r="8" spans="2:8" x14ac:dyDescent="0.25">
      <c r="B8" s="25" t="s">
        <v>19</v>
      </c>
      <c r="C8" s="8"/>
      <c r="D8" s="8"/>
      <c r="E8" s="8"/>
      <c r="F8" s="32"/>
      <c r="G8" s="32"/>
      <c r="H8" s="32"/>
    </row>
    <row r="9" spans="2:8" x14ac:dyDescent="0.25">
      <c r="B9" s="26" t="s">
        <v>20</v>
      </c>
      <c r="C9" s="8"/>
      <c r="D9" s="8"/>
      <c r="E9" s="8"/>
      <c r="F9" s="32"/>
      <c r="G9" s="32"/>
      <c r="H9" s="32"/>
    </row>
    <row r="10" spans="2:8" x14ac:dyDescent="0.25">
      <c r="B10" s="26" t="s">
        <v>21</v>
      </c>
      <c r="C10" s="8"/>
      <c r="D10" s="8"/>
      <c r="E10" s="8"/>
      <c r="F10" s="32"/>
      <c r="G10" s="32"/>
      <c r="H10" s="32"/>
    </row>
    <row r="11" spans="2:8" x14ac:dyDescent="0.25">
      <c r="B11" s="10" t="s">
        <v>22</v>
      </c>
      <c r="C11" s="8"/>
      <c r="D11" s="8"/>
      <c r="E11" s="9"/>
      <c r="F11" s="32"/>
      <c r="G11" s="32"/>
      <c r="H11" s="32"/>
    </row>
    <row r="12" spans="2:8" x14ac:dyDescent="0.25">
      <c r="B12" s="27" t="s">
        <v>23</v>
      </c>
      <c r="C12" s="8"/>
      <c r="D12" s="8"/>
      <c r="E12" s="9"/>
      <c r="F12" s="32"/>
      <c r="G12" s="32"/>
      <c r="H12" s="32"/>
    </row>
    <row r="13" spans="2:8" x14ac:dyDescent="0.25">
      <c r="B13" s="10" t="s">
        <v>24</v>
      </c>
      <c r="C13" s="8"/>
      <c r="D13" s="8"/>
      <c r="E13" s="9"/>
      <c r="F13" s="32"/>
      <c r="G13" s="32"/>
      <c r="H13" s="32"/>
    </row>
    <row r="14" spans="2:8" x14ac:dyDescent="0.25">
      <c r="B14" s="27" t="s">
        <v>25</v>
      </c>
      <c r="C14" s="8"/>
      <c r="D14" s="8"/>
      <c r="E14" s="9"/>
      <c r="F14" s="32"/>
      <c r="G14" s="32"/>
      <c r="H14" s="32"/>
    </row>
    <row r="15" spans="2:8" x14ac:dyDescent="0.25">
      <c r="B15" s="14" t="s">
        <v>16</v>
      </c>
      <c r="C15" s="8"/>
      <c r="D15" s="8"/>
      <c r="E15" s="9"/>
      <c r="F15" s="32"/>
      <c r="G15" s="32"/>
      <c r="H15" s="32"/>
    </row>
    <row r="16" spans="2:8" x14ac:dyDescent="0.25">
      <c r="B16" s="27"/>
      <c r="C16" s="8"/>
      <c r="D16" s="8"/>
      <c r="E16" s="9"/>
      <c r="F16" s="32"/>
      <c r="G16" s="32"/>
      <c r="H16" s="32"/>
    </row>
    <row r="17" spans="2:8" ht="15.75" customHeight="1" x14ac:dyDescent="0.25">
      <c r="B17" s="10" t="s">
        <v>57</v>
      </c>
      <c r="C17" s="8"/>
      <c r="D17" s="8"/>
      <c r="E17" s="9"/>
      <c r="F17" s="32"/>
      <c r="G17" s="32"/>
      <c r="H17" s="32"/>
    </row>
    <row r="18" spans="2:8" ht="15.75" customHeight="1" x14ac:dyDescent="0.25">
      <c r="B18" s="10" t="s">
        <v>18</v>
      </c>
      <c r="C18" s="8"/>
      <c r="D18" s="8"/>
      <c r="E18" s="8"/>
      <c r="F18" s="32"/>
      <c r="G18" s="32"/>
      <c r="H18" s="32"/>
    </row>
    <row r="19" spans="2:8" x14ac:dyDescent="0.25">
      <c r="B19" s="25" t="s">
        <v>19</v>
      </c>
      <c r="C19" s="8"/>
      <c r="D19" s="8"/>
      <c r="E19" s="8"/>
      <c r="F19" s="32"/>
      <c r="G19" s="32"/>
      <c r="H19" s="32"/>
    </row>
    <row r="20" spans="2:8" x14ac:dyDescent="0.25">
      <c r="B20" s="26" t="s">
        <v>20</v>
      </c>
      <c r="C20" s="8"/>
      <c r="D20" s="8"/>
      <c r="E20" s="8"/>
      <c r="F20" s="32"/>
      <c r="G20" s="32"/>
      <c r="H20" s="32"/>
    </row>
    <row r="21" spans="2:8" x14ac:dyDescent="0.25">
      <c r="B21" s="26" t="s">
        <v>21</v>
      </c>
      <c r="C21" s="8"/>
      <c r="D21" s="8"/>
      <c r="E21" s="8"/>
      <c r="F21" s="32"/>
      <c r="G21" s="32"/>
      <c r="H21" s="32"/>
    </row>
    <row r="22" spans="2:8" x14ac:dyDescent="0.25">
      <c r="B22" s="10" t="s">
        <v>22</v>
      </c>
      <c r="C22" s="8"/>
      <c r="D22" s="8"/>
      <c r="E22" s="9"/>
      <c r="F22" s="32"/>
      <c r="G22" s="32"/>
      <c r="H22" s="32"/>
    </row>
    <row r="23" spans="2:8" x14ac:dyDescent="0.25">
      <c r="B23" s="27" t="s">
        <v>23</v>
      </c>
      <c r="C23" s="8"/>
      <c r="D23" s="8"/>
      <c r="E23" s="9"/>
      <c r="F23" s="32"/>
      <c r="G23" s="32"/>
      <c r="H23" s="32"/>
    </row>
    <row r="24" spans="2:8" x14ac:dyDescent="0.25">
      <c r="B24" s="10" t="s">
        <v>24</v>
      </c>
      <c r="C24" s="8"/>
      <c r="D24" s="8"/>
      <c r="E24" s="9"/>
      <c r="F24" s="32"/>
      <c r="G24" s="32"/>
      <c r="H24" s="32"/>
    </row>
    <row r="25" spans="2:8" x14ac:dyDescent="0.25">
      <c r="B25" s="27" t="s">
        <v>25</v>
      </c>
      <c r="C25" s="8"/>
      <c r="D25" s="8"/>
      <c r="E25" s="9"/>
      <c r="F25" s="32"/>
      <c r="G25" s="32"/>
      <c r="H25" s="32"/>
    </row>
    <row r="26" spans="2:8" x14ac:dyDescent="0.25">
      <c r="B26" s="14" t="s">
        <v>16</v>
      </c>
      <c r="C26" s="8"/>
      <c r="D26" s="8"/>
      <c r="E26" s="9"/>
      <c r="F26" s="32"/>
      <c r="G26" s="32"/>
      <c r="H26" s="32"/>
    </row>
    <row r="28" spans="2:8" x14ac:dyDescent="0.25">
      <c r="B28" s="46"/>
      <c r="C28" s="46"/>
      <c r="D28" s="46"/>
      <c r="E28" s="46"/>
      <c r="F28" s="46"/>
      <c r="G28" s="46"/>
      <c r="H28" s="4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3"/>
  <sheetViews>
    <sheetView topLeftCell="A169" workbookViewId="0">
      <selection activeCell="I171" sqref="I171"/>
    </sheetView>
  </sheetViews>
  <sheetFormatPr defaultRowHeight="15" x14ac:dyDescent="0.25"/>
  <cols>
    <col min="2" max="2" width="5.28515625" customWidth="1"/>
    <col min="3" max="3" width="2.5703125" customWidth="1"/>
    <col min="4" max="4" width="4.140625" customWidth="1"/>
    <col min="5" max="5" width="39" customWidth="1"/>
    <col min="6" max="7" width="24.28515625" customWidth="1"/>
    <col min="8" max="8" width="15.7109375" customWidth="1"/>
    <col min="9" max="9" width="24.28515625" customWidth="1"/>
  </cols>
  <sheetData>
    <row r="1" spans="2:9" ht="18" x14ac:dyDescent="0.25">
      <c r="B1" s="3"/>
      <c r="C1" s="3"/>
      <c r="D1" s="3"/>
      <c r="E1" s="3"/>
      <c r="F1" s="3"/>
      <c r="G1" s="3"/>
      <c r="H1" s="4"/>
      <c r="I1" s="4"/>
    </row>
    <row r="2" spans="2:9" ht="18" customHeight="1" x14ac:dyDescent="0.25">
      <c r="B2" s="120" t="s">
        <v>11</v>
      </c>
      <c r="C2" s="120"/>
      <c r="D2" s="120"/>
      <c r="E2" s="120"/>
      <c r="F2" s="120"/>
      <c r="G2" s="120"/>
      <c r="H2" s="120"/>
      <c r="I2" s="29"/>
    </row>
    <row r="3" spans="2:9" ht="18" x14ac:dyDescent="0.25">
      <c r="B3" s="3"/>
      <c r="C3" s="3"/>
      <c r="D3" s="3"/>
      <c r="E3" s="3"/>
      <c r="F3" s="3"/>
      <c r="G3" s="3"/>
      <c r="H3" s="4"/>
      <c r="I3" s="4"/>
    </row>
    <row r="4" spans="2:9" ht="15.75" x14ac:dyDescent="0.25">
      <c r="B4" s="171" t="s">
        <v>69</v>
      </c>
      <c r="C4" s="171"/>
      <c r="D4" s="171"/>
      <c r="E4" s="171"/>
      <c r="F4" s="171"/>
      <c r="G4" s="171"/>
      <c r="H4" s="171"/>
    </row>
    <row r="5" spans="2:9" ht="18" x14ac:dyDescent="0.25">
      <c r="B5" s="3"/>
      <c r="C5" s="3"/>
      <c r="D5" s="3"/>
      <c r="E5" s="3"/>
      <c r="F5" s="3"/>
      <c r="G5" s="3"/>
      <c r="H5" s="4"/>
    </row>
    <row r="6" spans="2:9" ht="25.5" x14ac:dyDescent="0.25">
      <c r="B6" s="152" t="s">
        <v>8</v>
      </c>
      <c r="C6" s="153"/>
      <c r="D6" s="153"/>
      <c r="E6" s="154"/>
      <c r="F6" s="39" t="s">
        <v>231</v>
      </c>
      <c r="G6" s="39" t="s">
        <v>237</v>
      </c>
      <c r="H6" s="39" t="s">
        <v>62</v>
      </c>
    </row>
    <row r="7" spans="2:9" s="45" customFormat="1" ht="11.25" x14ac:dyDescent="0.2">
      <c r="B7" s="155">
        <v>1</v>
      </c>
      <c r="C7" s="156"/>
      <c r="D7" s="156"/>
      <c r="E7" s="157"/>
      <c r="F7" s="42">
        <v>2</v>
      </c>
      <c r="G7" s="42">
        <v>3</v>
      </c>
      <c r="H7" s="42" t="s">
        <v>174</v>
      </c>
    </row>
    <row r="8" spans="2:9" ht="18" customHeight="1" x14ac:dyDescent="0.25">
      <c r="B8" s="167">
        <v>16947</v>
      </c>
      <c r="C8" s="168"/>
      <c r="D8" s="169"/>
      <c r="E8" s="54" t="s">
        <v>76</v>
      </c>
      <c r="F8" s="62"/>
      <c r="G8" s="79"/>
      <c r="H8" s="79"/>
    </row>
    <row r="9" spans="2:9" ht="18" customHeight="1" x14ac:dyDescent="0.25">
      <c r="B9" s="160" t="s">
        <v>138</v>
      </c>
      <c r="C9" s="161"/>
      <c r="D9" s="161"/>
      <c r="E9" s="162"/>
      <c r="F9" s="63">
        <f>SUM(F10:F15)</f>
        <v>3562796</v>
      </c>
      <c r="G9" s="77">
        <f>SUM(G10:G15)</f>
        <v>1925059.5999999999</v>
      </c>
      <c r="H9" s="77">
        <f t="shared" ref="H9:H75" si="0">G9/F9*100</f>
        <v>54.032271283564924</v>
      </c>
    </row>
    <row r="10" spans="2:9" ht="18" customHeight="1" x14ac:dyDescent="0.25">
      <c r="B10" s="172">
        <v>1</v>
      </c>
      <c r="C10" s="173"/>
      <c r="D10" s="174"/>
      <c r="E10" s="53" t="s">
        <v>139</v>
      </c>
      <c r="F10" s="73">
        <f>17650+3206750+205316</f>
        <v>3429716</v>
      </c>
      <c r="G10" s="90">
        <f>G18+G88+G115+G125+G159+G167+G176+G163</f>
        <v>1855521.2899999998</v>
      </c>
      <c r="H10" s="79">
        <f t="shared" si="0"/>
        <v>54.101310137632389</v>
      </c>
    </row>
    <row r="11" spans="2:9" ht="18" customHeight="1" x14ac:dyDescent="0.25">
      <c r="B11" s="172">
        <v>2</v>
      </c>
      <c r="C11" s="173"/>
      <c r="D11" s="174"/>
      <c r="E11" s="53" t="s">
        <v>151</v>
      </c>
      <c r="F11" s="73">
        <v>0</v>
      </c>
      <c r="G11" s="90">
        <f>G34</f>
        <v>216</v>
      </c>
      <c r="H11" s="79" t="s">
        <v>116</v>
      </c>
      <c r="I11" s="68"/>
    </row>
    <row r="12" spans="2:9" ht="18" customHeight="1" x14ac:dyDescent="0.25">
      <c r="B12" s="172">
        <v>3</v>
      </c>
      <c r="C12" s="173"/>
      <c r="D12" s="174"/>
      <c r="E12" s="53" t="s">
        <v>140</v>
      </c>
      <c r="F12" s="73">
        <v>79000</v>
      </c>
      <c r="G12" s="90">
        <f>G41</f>
        <v>32066.859999999997</v>
      </c>
      <c r="H12" s="79">
        <f t="shared" si="0"/>
        <v>40.59096202531645</v>
      </c>
    </row>
    <row r="13" spans="2:9" ht="18" customHeight="1" x14ac:dyDescent="0.25">
      <c r="B13" s="172">
        <v>4</v>
      </c>
      <c r="C13" s="173"/>
      <c r="D13" s="174"/>
      <c r="E13" s="47" t="s">
        <v>141</v>
      </c>
      <c r="F13" s="73">
        <v>3980</v>
      </c>
      <c r="G13" s="90">
        <f>G75</f>
        <v>507.6</v>
      </c>
      <c r="H13" s="79">
        <f t="shared" si="0"/>
        <v>12.753768844221106</v>
      </c>
      <c r="I13" s="68"/>
    </row>
    <row r="14" spans="2:9" ht="18" customHeight="1" x14ac:dyDescent="0.25">
      <c r="B14" s="175">
        <v>7</v>
      </c>
      <c r="C14" s="175"/>
      <c r="D14" s="175"/>
      <c r="E14" s="47" t="s">
        <v>26</v>
      </c>
      <c r="F14" s="73">
        <v>100</v>
      </c>
      <c r="G14" s="90">
        <f>G154</f>
        <v>67.42</v>
      </c>
      <c r="H14" s="79">
        <f t="shared" si="0"/>
        <v>67.42</v>
      </c>
    </row>
    <row r="15" spans="2:9" ht="18" customHeight="1" x14ac:dyDescent="0.25">
      <c r="B15" s="175">
        <v>9</v>
      </c>
      <c r="C15" s="175"/>
      <c r="D15" s="175"/>
      <c r="E15" s="47" t="s">
        <v>243</v>
      </c>
      <c r="F15" s="73">
        <v>50000</v>
      </c>
      <c r="G15" s="90">
        <f>G83+G112+G145+G39</f>
        <v>36680.43</v>
      </c>
      <c r="H15" s="79">
        <f t="shared" si="0"/>
        <v>73.360860000000002</v>
      </c>
    </row>
    <row r="16" spans="2:9" s="56" customFormat="1" ht="30" customHeight="1" x14ac:dyDescent="0.25">
      <c r="B16" s="167" t="s">
        <v>153</v>
      </c>
      <c r="C16" s="168"/>
      <c r="D16" s="169"/>
      <c r="E16" s="55" t="s">
        <v>154</v>
      </c>
      <c r="F16" s="63">
        <f>F17</f>
        <v>205316</v>
      </c>
      <c r="G16" s="89">
        <f>G17</f>
        <v>143692.62</v>
      </c>
      <c r="H16" s="77">
        <f t="shared" si="0"/>
        <v>69.986079993765699</v>
      </c>
    </row>
    <row r="17" spans="2:8" s="56" customFormat="1" ht="30" customHeight="1" x14ac:dyDescent="0.25">
      <c r="B17" s="170" t="s">
        <v>144</v>
      </c>
      <c r="C17" s="170"/>
      <c r="D17" s="170"/>
      <c r="E17" s="54" t="s">
        <v>155</v>
      </c>
      <c r="F17" s="63">
        <f>F18</f>
        <v>205316</v>
      </c>
      <c r="G17" s="89">
        <f>G18</f>
        <v>143692.62</v>
      </c>
      <c r="H17" s="77">
        <f t="shared" si="0"/>
        <v>69.986079993765699</v>
      </c>
    </row>
    <row r="18" spans="2:8" s="56" customFormat="1" ht="18" customHeight="1" x14ac:dyDescent="0.25">
      <c r="B18" s="167">
        <v>13</v>
      </c>
      <c r="C18" s="168"/>
      <c r="D18" s="169"/>
      <c r="E18" s="54" t="s">
        <v>123</v>
      </c>
      <c r="F18" s="63">
        <f>F19+F30</f>
        <v>205316</v>
      </c>
      <c r="G18" s="77">
        <f>G19+G30</f>
        <v>143692.62</v>
      </c>
      <c r="H18" s="77">
        <f t="shared" si="0"/>
        <v>69.986079993765699</v>
      </c>
    </row>
    <row r="19" spans="2:8" ht="18" customHeight="1" x14ac:dyDescent="0.25">
      <c r="B19" s="160">
        <v>32</v>
      </c>
      <c r="C19" s="161"/>
      <c r="D19" s="162"/>
      <c r="E19" s="54" t="s">
        <v>13</v>
      </c>
      <c r="F19" s="63">
        <f>SUM(F20:F29)</f>
        <v>204786</v>
      </c>
      <c r="G19" s="77">
        <f>SUM(G20:G29)</f>
        <v>143200.07</v>
      </c>
      <c r="H19" s="77">
        <f t="shared" si="0"/>
        <v>69.926689324465542</v>
      </c>
    </row>
    <row r="20" spans="2:8" ht="35.450000000000003" customHeight="1" x14ac:dyDescent="0.25">
      <c r="B20" s="163">
        <v>3212</v>
      </c>
      <c r="C20" s="163"/>
      <c r="D20" s="163"/>
      <c r="E20" s="47" t="s">
        <v>193</v>
      </c>
      <c r="F20" s="62">
        <v>110140</v>
      </c>
      <c r="G20" s="79">
        <v>66848.3</v>
      </c>
      <c r="H20" s="79">
        <f t="shared" si="0"/>
        <v>60.693934991828577</v>
      </c>
    </row>
    <row r="21" spans="2:8" ht="18" customHeight="1" x14ac:dyDescent="0.25">
      <c r="B21" s="163">
        <v>3221</v>
      </c>
      <c r="C21" s="163"/>
      <c r="D21" s="163"/>
      <c r="E21" s="47" t="s">
        <v>88</v>
      </c>
      <c r="F21" s="62">
        <v>5060</v>
      </c>
      <c r="G21" s="79">
        <f>635.44+3328.27</f>
        <v>3963.71</v>
      </c>
      <c r="H21" s="79">
        <f t="shared" si="0"/>
        <v>78.334189723320151</v>
      </c>
    </row>
    <row r="22" spans="2:8" ht="18" customHeight="1" x14ac:dyDescent="0.25">
      <c r="B22" s="163">
        <v>3222</v>
      </c>
      <c r="C22" s="163"/>
      <c r="D22" s="163"/>
      <c r="E22" s="47" t="s">
        <v>89</v>
      </c>
      <c r="F22" s="62">
        <v>1020</v>
      </c>
      <c r="G22" s="79">
        <v>4464.3900000000003</v>
      </c>
      <c r="H22" s="79">
        <f t="shared" si="0"/>
        <v>437.68529411764706</v>
      </c>
    </row>
    <row r="23" spans="2:8" ht="18" customHeight="1" x14ac:dyDescent="0.25">
      <c r="B23" s="163">
        <v>3223</v>
      </c>
      <c r="C23" s="163"/>
      <c r="D23" s="163"/>
      <c r="E23" s="47" t="s">
        <v>90</v>
      </c>
      <c r="F23" s="62">
        <f>9290+30530</f>
        <v>39820</v>
      </c>
      <c r="G23" s="79">
        <f>10523.58+27423.79+400.01</f>
        <v>38347.380000000005</v>
      </c>
      <c r="H23" s="79">
        <f t="shared" si="0"/>
        <v>96.301808136614781</v>
      </c>
    </row>
    <row r="24" spans="2:8" ht="30" customHeight="1" x14ac:dyDescent="0.25">
      <c r="B24" s="164">
        <v>3224</v>
      </c>
      <c r="C24" s="165"/>
      <c r="D24" s="166"/>
      <c r="E24" s="47" t="s">
        <v>91</v>
      </c>
      <c r="F24" s="62">
        <v>1200</v>
      </c>
      <c r="G24" s="79">
        <v>1967.31</v>
      </c>
      <c r="H24" s="79">
        <f t="shared" si="0"/>
        <v>163.9425</v>
      </c>
    </row>
    <row r="25" spans="2:8" ht="18" customHeight="1" x14ac:dyDescent="0.25">
      <c r="B25" s="164">
        <v>3231</v>
      </c>
      <c r="C25" s="165"/>
      <c r="D25" s="166"/>
      <c r="E25" s="47" t="s">
        <v>94</v>
      </c>
      <c r="F25" s="62">
        <f>1326+660</f>
        <v>1986</v>
      </c>
      <c r="G25" s="79">
        <f>1009.11+369.62</f>
        <v>1378.73</v>
      </c>
      <c r="H25" s="79">
        <f t="shared" si="0"/>
        <v>69.422457200402818</v>
      </c>
    </row>
    <row r="26" spans="2:8" ht="18" customHeight="1" x14ac:dyDescent="0.25">
      <c r="B26" s="164">
        <v>3232</v>
      </c>
      <c r="C26" s="165"/>
      <c r="D26" s="166"/>
      <c r="E26" s="47" t="s">
        <v>95</v>
      </c>
      <c r="F26" s="62">
        <v>1330</v>
      </c>
      <c r="G26" s="79">
        <v>2761.85</v>
      </c>
      <c r="H26" s="79">
        <f t="shared" si="0"/>
        <v>207.65789473684211</v>
      </c>
    </row>
    <row r="27" spans="2:8" ht="18" customHeight="1" x14ac:dyDescent="0.25">
      <c r="B27" s="164">
        <v>3234</v>
      </c>
      <c r="C27" s="165"/>
      <c r="D27" s="166"/>
      <c r="E27" s="47" t="s">
        <v>97</v>
      </c>
      <c r="F27" s="62">
        <v>8630</v>
      </c>
      <c r="G27" s="79">
        <v>4671.78</v>
      </c>
      <c r="H27" s="79">
        <f t="shared" si="0"/>
        <v>54.13418308227115</v>
      </c>
    </row>
    <row r="28" spans="2:8" ht="18" customHeight="1" x14ac:dyDescent="0.25">
      <c r="B28" s="164">
        <v>3235</v>
      </c>
      <c r="C28" s="165"/>
      <c r="D28" s="166"/>
      <c r="E28" s="47" t="s">
        <v>156</v>
      </c>
      <c r="F28" s="62">
        <v>35070</v>
      </c>
      <c r="G28" s="79">
        <v>17535.72</v>
      </c>
      <c r="H28" s="79">
        <f t="shared" si="0"/>
        <v>50.002053036783579</v>
      </c>
    </row>
    <row r="29" spans="2:8" ht="18" customHeight="1" x14ac:dyDescent="0.25">
      <c r="B29" s="164">
        <v>3238</v>
      </c>
      <c r="C29" s="165"/>
      <c r="D29" s="166"/>
      <c r="E29" s="47" t="s">
        <v>99</v>
      </c>
      <c r="F29" s="62">
        <v>530</v>
      </c>
      <c r="G29" s="79">
        <v>1260.9000000000001</v>
      </c>
      <c r="H29" s="79">
        <f t="shared" si="0"/>
        <v>237.90566037735852</v>
      </c>
    </row>
    <row r="30" spans="2:8" ht="18" customHeight="1" x14ac:dyDescent="0.25">
      <c r="B30" s="160">
        <v>34</v>
      </c>
      <c r="C30" s="161"/>
      <c r="D30" s="162"/>
      <c r="E30" s="54" t="s">
        <v>107</v>
      </c>
      <c r="F30" s="63">
        <f>F31</f>
        <v>530</v>
      </c>
      <c r="G30" s="77">
        <f>G31</f>
        <v>492.55</v>
      </c>
      <c r="H30" s="77">
        <f t="shared" si="0"/>
        <v>92.933962264150949</v>
      </c>
    </row>
    <row r="31" spans="2:8" ht="18" customHeight="1" x14ac:dyDescent="0.25">
      <c r="B31" s="164">
        <v>3431</v>
      </c>
      <c r="C31" s="165"/>
      <c r="D31" s="166"/>
      <c r="E31" s="47" t="s">
        <v>109</v>
      </c>
      <c r="F31" s="62">
        <v>530</v>
      </c>
      <c r="G31" s="79">
        <v>492.55</v>
      </c>
      <c r="H31" s="79">
        <f t="shared" si="0"/>
        <v>92.933962264150949</v>
      </c>
    </row>
    <row r="32" spans="2:8" s="56" customFormat="1" ht="40.15" customHeight="1" x14ac:dyDescent="0.25">
      <c r="B32" s="167" t="s">
        <v>146</v>
      </c>
      <c r="C32" s="168"/>
      <c r="D32" s="169"/>
      <c r="E32" s="55" t="s">
        <v>147</v>
      </c>
      <c r="F32" s="63">
        <f>F33+F158+F162+F175+F166</f>
        <v>3357480</v>
      </c>
      <c r="G32" s="89">
        <f>G33+G158+G162+G175+G166</f>
        <v>1781366.9799999997</v>
      </c>
      <c r="H32" s="77">
        <f t="shared" si="0"/>
        <v>53.056666904940606</v>
      </c>
    </row>
    <row r="33" spans="2:8" s="56" customFormat="1" ht="30" customHeight="1" x14ac:dyDescent="0.25">
      <c r="B33" s="170" t="s">
        <v>166</v>
      </c>
      <c r="C33" s="170"/>
      <c r="D33" s="170"/>
      <c r="E33" s="54" t="s">
        <v>167</v>
      </c>
      <c r="F33" s="63">
        <f>F34+F41+F75+F88+F115+F125+F145+F154+F83+F112</f>
        <v>3339830</v>
      </c>
      <c r="G33" s="92">
        <f>G34+G41+G75+G88+G115+G125+G145+G154+G83+G112+G38</f>
        <v>1766236.2399999998</v>
      </c>
      <c r="H33" s="77">
        <f t="shared" si="0"/>
        <v>52.884016252324216</v>
      </c>
    </row>
    <row r="34" spans="2:8" s="56" customFormat="1" ht="18" customHeight="1" x14ac:dyDescent="0.25">
      <c r="B34" s="167">
        <v>21</v>
      </c>
      <c r="C34" s="168"/>
      <c r="D34" s="169"/>
      <c r="E34" s="54" t="s">
        <v>151</v>
      </c>
      <c r="F34" s="63">
        <f>F35</f>
        <v>0</v>
      </c>
      <c r="G34" s="92">
        <f>G35</f>
        <v>216</v>
      </c>
      <c r="H34" s="77" t="s">
        <v>116</v>
      </c>
    </row>
    <row r="35" spans="2:8" ht="18" customHeight="1" x14ac:dyDescent="0.25">
      <c r="B35" s="160">
        <v>32</v>
      </c>
      <c r="C35" s="161"/>
      <c r="D35" s="162"/>
      <c r="E35" s="54" t="s">
        <v>13</v>
      </c>
      <c r="F35" s="63">
        <f>SUM(F36:F37)</f>
        <v>0</v>
      </c>
      <c r="G35" s="92">
        <f>SUM(G36:G37)</f>
        <v>216</v>
      </c>
      <c r="H35" s="77" t="s">
        <v>116</v>
      </c>
    </row>
    <row r="36" spans="2:8" ht="18" customHeight="1" x14ac:dyDescent="0.25">
      <c r="B36" s="163">
        <v>3222</v>
      </c>
      <c r="C36" s="163"/>
      <c r="D36" s="163"/>
      <c r="E36" s="47" t="s">
        <v>89</v>
      </c>
      <c r="F36" s="62">
        <v>0</v>
      </c>
      <c r="G36" s="90">
        <v>142.66999999999999</v>
      </c>
      <c r="H36" s="79" t="s">
        <v>116</v>
      </c>
    </row>
    <row r="37" spans="2:8" ht="18" customHeight="1" x14ac:dyDescent="0.25">
      <c r="B37" s="163">
        <v>3225</v>
      </c>
      <c r="C37" s="163"/>
      <c r="D37" s="163"/>
      <c r="E37" s="47" t="s">
        <v>92</v>
      </c>
      <c r="F37" s="62">
        <v>0</v>
      </c>
      <c r="G37" s="90">
        <v>73.33</v>
      </c>
      <c r="H37" s="79" t="s">
        <v>116</v>
      </c>
    </row>
    <row r="38" spans="2:8" s="56" customFormat="1" ht="18" customHeight="1" x14ac:dyDescent="0.25">
      <c r="B38" s="167">
        <v>92</v>
      </c>
      <c r="C38" s="168"/>
      <c r="D38" s="169"/>
      <c r="E38" s="116" t="s">
        <v>244</v>
      </c>
      <c r="F38" s="63">
        <f>F39</f>
        <v>0</v>
      </c>
      <c r="G38" s="92">
        <f>G39</f>
        <v>299.93</v>
      </c>
      <c r="H38" s="77" t="s">
        <v>116</v>
      </c>
    </row>
    <row r="39" spans="2:8" ht="30" customHeight="1" x14ac:dyDescent="0.25">
      <c r="B39" s="160">
        <v>42</v>
      </c>
      <c r="C39" s="161"/>
      <c r="D39" s="162"/>
      <c r="E39" s="113" t="s">
        <v>110</v>
      </c>
      <c r="F39" s="63">
        <f>F40</f>
        <v>0</v>
      </c>
      <c r="G39" s="92">
        <f>G40</f>
        <v>299.93</v>
      </c>
      <c r="H39" s="77" t="s">
        <v>116</v>
      </c>
    </row>
    <row r="40" spans="2:8" ht="18" customHeight="1" x14ac:dyDescent="0.25">
      <c r="B40" s="164">
        <v>4227</v>
      </c>
      <c r="C40" s="165"/>
      <c r="D40" s="166"/>
      <c r="E40" s="47" t="s">
        <v>238</v>
      </c>
      <c r="F40" s="62">
        <v>0</v>
      </c>
      <c r="G40" s="90">
        <v>299.93</v>
      </c>
      <c r="H40" s="79" t="s">
        <v>116</v>
      </c>
    </row>
    <row r="41" spans="2:8" s="56" customFormat="1" ht="18" customHeight="1" x14ac:dyDescent="0.25">
      <c r="B41" s="167">
        <v>31</v>
      </c>
      <c r="C41" s="168"/>
      <c r="D41" s="169"/>
      <c r="E41" s="54" t="s">
        <v>140</v>
      </c>
      <c r="F41" s="63">
        <f>F42+F46+F66+F68+F70+F72</f>
        <v>79000</v>
      </c>
      <c r="G41" s="92">
        <f>G42+G46+G66+G68+G70+G72</f>
        <v>32066.859999999997</v>
      </c>
      <c r="H41" s="77">
        <f t="shared" si="0"/>
        <v>40.59096202531645</v>
      </c>
    </row>
    <row r="42" spans="2:8" ht="18" customHeight="1" x14ac:dyDescent="0.25">
      <c r="B42" s="160">
        <v>31</v>
      </c>
      <c r="C42" s="161"/>
      <c r="D42" s="162"/>
      <c r="E42" s="54" t="s">
        <v>5</v>
      </c>
      <c r="F42" s="63">
        <f>SUM(F43:F45)</f>
        <v>37370</v>
      </c>
      <c r="G42" s="92">
        <f>SUM(G43:G45)</f>
        <v>19791.989999999998</v>
      </c>
      <c r="H42" s="77">
        <f t="shared" si="0"/>
        <v>52.962242440460258</v>
      </c>
    </row>
    <row r="43" spans="2:8" ht="18" customHeight="1" x14ac:dyDescent="0.25">
      <c r="B43" s="163">
        <v>3111</v>
      </c>
      <c r="C43" s="163"/>
      <c r="D43" s="163"/>
      <c r="E43" s="47" t="s">
        <v>42</v>
      </c>
      <c r="F43" s="62">
        <v>30530</v>
      </c>
      <c r="G43" s="90">
        <v>16986.62</v>
      </c>
      <c r="H43" s="79">
        <f t="shared" si="0"/>
        <v>55.639109073042903</v>
      </c>
    </row>
    <row r="44" spans="2:8" ht="18" customHeight="1" x14ac:dyDescent="0.25">
      <c r="B44" s="163">
        <v>3121</v>
      </c>
      <c r="C44" s="163"/>
      <c r="D44" s="163"/>
      <c r="E44" s="47" t="s">
        <v>157</v>
      </c>
      <c r="F44" s="62">
        <v>1530</v>
      </c>
      <c r="G44" s="90"/>
      <c r="H44" s="79">
        <f t="shared" si="0"/>
        <v>0</v>
      </c>
    </row>
    <row r="45" spans="2:8" ht="18" customHeight="1" x14ac:dyDescent="0.25">
      <c r="B45" s="163">
        <v>3132</v>
      </c>
      <c r="C45" s="163"/>
      <c r="D45" s="163"/>
      <c r="E45" s="47" t="s">
        <v>158</v>
      </c>
      <c r="F45" s="62">
        <v>5310</v>
      </c>
      <c r="G45" s="90">
        <v>2805.37</v>
      </c>
      <c r="H45" s="79">
        <f t="shared" si="0"/>
        <v>52.831826741996238</v>
      </c>
    </row>
    <row r="46" spans="2:8" ht="18" customHeight="1" x14ac:dyDescent="0.25">
      <c r="B46" s="160">
        <v>32</v>
      </c>
      <c r="C46" s="161"/>
      <c r="D46" s="162"/>
      <c r="E46" s="54" t="s">
        <v>13</v>
      </c>
      <c r="F46" s="63">
        <f>SUM(F47:F65)</f>
        <v>40100</v>
      </c>
      <c r="G46" s="92">
        <f>SUM(G47:G65)</f>
        <v>11668.199999999999</v>
      </c>
      <c r="H46" s="77">
        <f t="shared" si="0"/>
        <v>29.097755610972563</v>
      </c>
    </row>
    <row r="47" spans="2:8" ht="18" customHeight="1" x14ac:dyDescent="0.25">
      <c r="B47" s="163">
        <v>3211</v>
      </c>
      <c r="C47" s="163"/>
      <c r="D47" s="163"/>
      <c r="E47" s="47" t="s">
        <v>44</v>
      </c>
      <c r="F47" s="62">
        <v>3980</v>
      </c>
      <c r="G47" s="90">
        <v>2385.7199999999998</v>
      </c>
      <c r="H47" s="79">
        <f t="shared" si="0"/>
        <v>59.942713567839192</v>
      </c>
    </row>
    <row r="48" spans="2:8" ht="18" customHeight="1" x14ac:dyDescent="0.25">
      <c r="B48" s="163">
        <v>3213</v>
      </c>
      <c r="C48" s="163"/>
      <c r="D48" s="163"/>
      <c r="E48" s="47" t="s">
        <v>87</v>
      </c>
      <c r="F48" s="62">
        <v>1330</v>
      </c>
      <c r="G48" s="90">
        <v>150</v>
      </c>
      <c r="H48" s="79">
        <f t="shared" si="0"/>
        <v>11.278195488721805</v>
      </c>
    </row>
    <row r="49" spans="2:8" ht="18" customHeight="1" x14ac:dyDescent="0.25">
      <c r="B49" s="163">
        <v>3221</v>
      </c>
      <c r="C49" s="163"/>
      <c r="D49" s="163"/>
      <c r="E49" s="47" t="s">
        <v>88</v>
      </c>
      <c r="F49" s="62">
        <f>930+1990</f>
        <v>2920</v>
      </c>
      <c r="G49" s="90">
        <f>377.21+417.58</f>
        <v>794.79</v>
      </c>
      <c r="H49" s="79">
        <f t="shared" si="0"/>
        <v>27.218835616438351</v>
      </c>
    </row>
    <row r="50" spans="2:8" ht="18" customHeight="1" x14ac:dyDescent="0.25">
      <c r="B50" s="163">
        <v>3222</v>
      </c>
      <c r="C50" s="163"/>
      <c r="D50" s="163"/>
      <c r="E50" s="47" t="s">
        <v>89</v>
      </c>
      <c r="F50" s="62">
        <v>1260</v>
      </c>
      <c r="G50" s="90">
        <v>1238.5999999999999</v>
      </c>
      <c r="H50" s="79">
        <f t="shared" si="0"/>
        <v>98.30158730158729</v>
      </c>
    </row>
    <row r="51" spans="2:8" ht="18" customHeight="1" x14ac:dyDescent="0.25">
      <c r="B51" s="163">
        <v>3223</v>
      </c>
      <c r="C51" s="163"/>
      <c r="D51" s="163"/>
      <c r="E51" s="47" t="s">
        <v>90</v>
      </c>
      <c r="F51" s="62">
        <v>3050</v>
      </c>
      <c r="G51" s="90">
        <v>1384.02</v>
      </c>
      <c r="H51" s="79">
        <f t="shared" si="0"/>
        <v>45.377704918032784</v>
      </c>
    </row>
    <row r="52" spans="2:8" ht="30" customHeight="1" x14ac:dyDescent="0.25">
      <c r="B52" s="164">
        <v>3224</v>
      </c>
      <c r="C52" s="165"/>
      <c r="D52" s="166"/>
      <c r="E52" s="47" t="s">
        <v>91</v>
      </c>
      <c r="F52" s="62">
        <v>1500</v>
      </c>
      <c r="G52" s="90">
        <v>35.36</v>
      </c>
      <c r="H52" s="79">
        <f t="shared" si="0"/>
        <v>2.3573333333333331</v>
      </c>
    </row>
    <row r="53" spans="2:8" ht="18" customHeight="1" x14ac:dyDescent="0.25">
      <c r="B53" s="164">
        <v>3225</v>
      </c>
      <c r="C53" s="165"/>
      <c r="D53" s="166"/>
      <c r="E53" s="47" t="s">
        <v>92</v>
      </c>
      <c r="F53" s="62">
        <v>660</v>
      </c>
      <c r="G53" s="90">
        <v>522.44000000000005</v>
      </c>
      <c r="H53" s="79">
        <f t="shared" si="0"/>
        <v>79.157575757575771</v>
      </c>
    </row>
    <row r="54" spans="2:8" ht="18" customHeight="1" x14ac:dyDescent="0.25">
      <c r="B54" s="164">
        <v>3227</v>
      </c>
      <c r="C54" s="165"/>
      <c r="D54" s="166"/>
      <c r="E54" s="47" t="s">
        <v>93</v>
      </c>
      <c r="F54" s="62">
        <v>400</v>
      </c>
      <c r="G54" s="90">
        <v>244.2</v>
      </c>
      <c r="H54" s="79">
        <f t="shared" si="0"/>
        <v>61.04999999999999</v>
      </c>
    </row>
    <row r="55" spans="2:8" ht="18" customHeight="1" x14ac:dyDescent="0.25">
      <c r="B55" s="164">
        <v>3231</v>
      </c>
      <c r="C55" s="165"/>
      <c r="D55" s="166"/>
      <c r="E55" s="47" t="s">
        <v>94</v>
      </c>
      <c r="F55" s="62">
        <f>170+130</f>
        <v>300</v>
      </c>
      <c r="G55" s="90"/>
      <c r="H55" s="79">
        <f t="shared" si="0"/>
        <v>0</v>
      </c>
    </row>
    <row r="56" spans="2:8" ht="18" customHeight="1" x14ac:dyDescent="0.25">
      <c r="B56" s="164">
        <v>3232</v>
      </c>
      <c r="C56" s="165"/>
      <c r="D56" s="166"/>
      <c r="E56" s="47" t="s">
        <v>95</v>
      </c>
      <c r="F56" s="62">
        <v>3980</v>
      </c>
      <c r="G56" s="90"/>
      <c r="H56" s="79">
        <f t="shared" si="0"/>
        <v>0</v>
      </c>
    </row>
    <row r="57" spans="2:8" ht="18" customHeight="1" x14ac:dyDescent="0.25">
      <c r="B57" s="164">
        <v>3233</v>
      </c>
      <c r="C57" s="165"/>
      <c r="D57" s="166"/>
      <c r="E57" s="47" t="s">
        <v>96</v>
      </c>
      <c r="F57" s="62"/>
      <c r="G57" s="90"/>
      <c r="H57" s="79" t="s">
        <v>116</v>
      </c>
    </row>
    <row r="58" spans="2:8" ht="18" customHeight="1" x14ac:dyDescent="0.25">
      <c r="B58" s="164">
        <v>3237</v>
      </c>
      <c r="C58" s="165"/>
      <c r="D58" s="166"/>
      <c r="E58" s="47" t="s">
        <v>159</v>
      </c>
      <c r="F58" s="62">
        <v>10940</v>
      </c>
      <c r="G58" s="90">
        <f>87.38+831</f>
        <v>918.38</v>
      </c>
      <c r="H58" s="79">
        <f t="shared" si="0"/>
        <v>8.3946983546617915</v>
      </c>
    </row>
    <row r="59" spans="2:8" ht="18" customHeight="1" x14ac:dyDescent="0.25">
      <c r="B59" s="164">
        <v>3239</v>
      </c>
      <c r="C59" s="165"/>
      <c r="D59" s="166"/>
      <c r="E59" s="47" t="s">
        <v>100</v>
      </c>
      <c r="F59" s="62">
        <v>2520</v>
      </c>
      <c r="G59" s="90">
        <f>791.71+61.14</f>
        <v>852.85</v>
      </c>
      <c r="H59" s="79">
        <f t="shared" si="0"/>
        <v>33.843253968253968</v>
      </c>
    </row>
    <row r="60" spans="2:8" ht="34.9" customHeight="1" x14ac:dyDescent="0.25">
      <c r="B60" s="164">
        <v>3241</v>
      </c>
      <c r="C60" s="165"/>
      <c r="D60" s="166"/>
      <c r="E60" s="47" t="s">
        <v>195</v>
      </c>
      <c r="F60" s="62"/>
      <c r="G60" s="90"/>
      <c r="H60" s="79" t="s">
        <v>116</v>
      </c>
    </row>
    <row r="61" spans="2:8" ht="18" customHeight="1" x14ac:dyDescent="0.25">
      <c r="B61" s="164">
        <v>3292</v>
      </c>
      <c r="C61" s="165"/>
      <c r="D61" s="166"/>
      <c r="E61" s="47" t="s">
        <v>101</v>
      </c>
      <c r="F61" s="62">
        <v>4510</v>
      </c>
      <c r="G61" s="90">
        <v>1695.25</v>
      </c>
      <c r="H61" s="79">
        <f t="shared" si="0"/>
        <v>37.588691796008874</v>
      </c>
    </row>
    <row r="62" spans="2:8" ht="18" customHeight="1" x14ac:dyDescent="0.25">
      <c r="B62" s="164">
        <v>3293</v>
      </c>
      <c r="C62" s="165"/>
      <c r="D62" s="166"/>
      <c r="E62" s="47" t="s">
        <v>102</v>
      </c>
      <c r="F62" s="62">
        <v>1330</v>
      </c>
      <c r="G62" s="90">
        <v>825.06</v>
      </c>
      <c r="H62" s="79">
        <f t="shared" si="0"/>
        <v>62.034586466165408</v>
      </c>
    </row>
    <row r="63" spans="2:8" ht="18" customHeight="1" x14ac:dyDescent="0.25">
      <c r="B63" s="164">
        <v>3294</v>
      </c>
      <c r="C63" s="165"/>
      <c r="D63" s="166"/>
      <c r="E63" s="47" t="s">
        <v>196</v>
      </c>
      <c r="F63" s="62">
        <v>660</v>
      </c>
      <c r="G63" s="90">
        <v>617.70000000000005</v>
      </c>
      <c r="H63" s="79">
        <f t="shared" si="0"/>
        <v>93.590909090909108</v>
      </c>
    </row>
    <row r="64" spans="2:8" ht="18" customHeight="1" x14ac:dyDescent="0.25">
      <c r="B64" s="164">
        <v>3295</v>
      </c>
      <c r="C64" s="165"/>
      <c r="D64" s="166"/>
      <c r="E64" s="47" t="s">
        <v>103</v>
      </c>
      <c r="F64" s="62">
        <v>100</v>
      </c>
      <c r="G64" s="90">
        <v>3.83</v>
      </c>
      <c r="H64" s="79">
        <f t="shared" si="0"/>
        <v>3.83</v>
      </c>
    </row>
    <row r="65" spans="2:8" ht="18" customHeight="1" x14ac:dyDescent="0.25">
      <c r="B65" s="164">
        <v>3299</v>
      </c>
      <c r="C65" s="165"/>
      <c r="D65" s="166"/>
      <c r="E65" s="47" t="s">
        <v>104</v>
      </c>
      <c r="F65" s="62">
        <v>660</v>
      </c>
      <c r="G65" s="90"/>
      <c r="H65" s="79">
        <f t="shared" si="0"/>
        <v>0</v>
      </c>
    </row>
    <row r="66" spans="2:8" ht="18" customHeight="1" x14ac:dyDescent="0.25">
      <c r="B66" s="160">
        <v>34</v>
      </c>
      <c r="C66" s="161"/>
      <c r="D66" s="162"/>
      <c r="E66" s="54" t="s">
        <v>107</v>
      </c>
      <c r="F66" s="63">
        <f>F67</f>
        <v>530</v>
      </c>
      <c r="G66" s="107">
        <f>G67</f>
        <v>24.11</v>
      </c>
      <c r="H66" s="77">
        <f t="shared" si="0"/>
        <v>4.5490566037735842</v>
      </c>
    </row>
    <row r="67" spans="2:8" ht="18" customHeight="1" x14ac:dyDescent="0.25">
      <c r="B67" s="164">
        <v>3431</v>
      </c>
      <c r="C67" s="165"/>
      <c r="D67" s="166"/>
      <c r="E67" s="47" t="s">
        <v>109</v>
      </c>
      <c r="F67" s="62">
        <v>530</v>
      </c>
      <c r="G67" s="90">
        <v>24.11</v>
      </c>
      <c r="H67" s="79">
        <f t="shared" si="0"/>
        <v>4.5490566037735842</v>
      </c>
    </row>
    <row r="68" spans="2:8" ht="18" customHeight="1" x14ac:dyDescent="0.25">
      <c r="B68" s="160">
        <v>38</v>
      </c>
      <c r="C68" s="161"/>
      <c r="D68" s="162"/>
      <c r="E68" s="54" t="s">
        <v>172</v>
      </c>
      <c r="F68" s="63">
        <f>F69</f>
        <v>0</v>
      </c>
      <c r="G68" s="107">
        <f>G69</f>
        <v>0</v>
      </c>
      <c r="H68" s="77" t="s">
        <v>116</v>
      </c>
    </row>
    <row r="69" spans="2:8" ht="18" customHeight="1" x14ac:dyDescent="0.25">
      <c r="B69" s="164">
        <v>3812</v>
      </c>
      <c r="C69" s="165"/>
      <c r="D69" s="166"/>
      <c r="E69" s="47" t="s">
        <v>213</v>
      </c>
      <c r="F69" s="62"/>
      <c r="G69" s="90"/>
      <c r="H69" s="79" t="s">
        <v>116</v>
      </c>
    </row>
    <row r="70" spans="2:8" ht="30" customHeight="1" x14ac:dyDescent="0.25">
      <c r="B70" s="160">
        <v>41</v>
      </c>
      <c r="C70" s="161"/>
      <c r="D70" s="162"/>
      <c r="E70" s="54" t="s">
        <v>7</v>
      </c>
      <c r="F70" s="63">
        <f>F71</f>
        <v>0</v>
      </c>
      <c r="G70" s="92">
        <f>SUM(G71)</f>
        <v>110.06</v>
      </c>
      <c r="H70" s="77" t="s">
        <v>116</v>
      </c>
    </row>
    <row r="71" spans="2:8" ht="18" customHeight="1" x14ac:dyDescent="0.25">
      <c r="B71" s="164">
        <v>4123</v>
      </c>
      <c r="C71" s="165"/>
      <c r="D71" s="166"/>
      <c r="E71" s="47" t="s">
        <v>160</v>
      </c>
      <c r="F71" s="62"/>
      <c r="G71" s="90">
        <v>110.06</v>
      </c>
      <c r="H71" s="79" t="s">
        <v>116</v>
      </c>
    </row>
    <row r="72" spans="2:8" ht="30" customHeight="1" x14ac:dyDescent="0.25">
      <c r="B72" s="160">
        <v>42</v>
      </c>
      <c r="C72" s="161"/>
      <c r="D72" s="162"/>
      <c r="E72" s="54" t="s">
        <v>110</v>
      </c>
      <c r="F72" s="63">
        <f>F73+F74</f>
        <v>1000</v>
      </c>
      <c r="G72" s="72">
        <f>G73+G74</f>
        <v>472.5</v>
      </c>
      <c r="H72" s="77">
        <f t="shared" si="0"/>
        <v>47.25</v>
      </c>
    </row>
    <row r="73" spans="2:8" ht="18" customHeight="1" x14ac:dyDescent="0.25">
      <c r="B73" s="164">
        <v>4227</v>
      </c>
      <c r="C73" s="165"/>
      <c r="D73" s="166"/>
      <c r="E73" s="47" t="s">
        <v>238</v>
      </c>
      <c r="F73" s="62">
        <v>1000</v>
      </c>
      <c r="G73" s="90">
        <v>472.5</v>
      </c>
      <c r="H73" s="79">
        <f t="shared" ref="H73" si="1">G73/F73*100</f>
        <v>47.25</v>
      </c>
    </row>
    <row r="74" spans="2:8" ht="18" customHeight="1" x14ac:dyDescent="0.25">
      <c r="B74" s="164">
        <v>4262</v>
      </c>
      <c r="C74" s="165"/>
      <c r="D74" s="166"/>
      <c r="E74" s="47" t="s">
        <v>161</v>
      </c>
      <c r="F74" s="62"/>
      <c r="G74" s="90"/>
      <c r="H74" s="79" t="s">
        <v>116</v>
      </c>
    </row>
    <row r="75" spans="2:8" s="56" customFormat="1" ht="18" customHeight="1" x14ac:dyDescent="0.25">
      <c r="B75" s="167">
        <v>43</v>
      </c>
      <c r="C75" s="168"/>
      <c r="D75" s="169"/>
      <c r="E75" s="54" t="s">
        <v>150</v>
      </c>
      <c r="F75" s="63">
        <f>F76+F80</f>
        <v>3980</v>
      </c>
      <c r="G75" s="107">
        <f>G76+G80</f>
        <v>507.6</v>
      </c>
      <c r="H75" s="77">
        <f t="shared" si="0"/>
        <v>12.753768844221106</v>
      </c>
    </row>
    <row r="76" spans="2:8" ht="18" customHeight="1" x14ac:dyDescent="0.25">
      <c r="B76" s="160">
        <v>31</v>
      </c>
      <c r="C76" s="161"/>
      <c r="D76" s="162"/>
      <c r="E76" s="54" t="s">
        <v>5</v>
      </c>
      <c r="F76" s="63">
        <f>SUM(F77:F79)</f>
        <v>0</v>
      </c>
      <c r="G76" s="92">
        <f>SUM(G77:G79)</f>
        <v>0</v>
      </c>
      <c r="H76" s="77" t="s">
        <v>116</v>
      </c>
    </row>
    <row r="77" spans="2:8" ht="18" customHeight="1" x14ac:dyDescent="0.25">
      <c r="B77" s="163">
        <v>3111</v>
      </c>
      <c r="C77" s="163"/>
      <c r="D77" s="163"/>
      <c r="E77" s="47" t="s">
        <v>42</v>
      </c>
      <c r="F77" s="62">
        <v>0</v>
      </c>
      <c r="G77" s="90"/>
      <c r="H77" s="77" t="s">
        <v>116</v>
      </c>
    </row>
    <row r="78" spans="2:8" ht="18" customHeight="1" x14ac:dyDescent="0.25">
      <c r="B78" s="163">
        <v>3132</v>
      </c>
      <c r="C78" s="163"/>
      <c r="D78" s="163"/>
      <c r="E78" s="47" t="s">
        <v>158</v>
      </c>
      <c r="F78" s="62">
        <v>0</v>
      </c>
      <c r="G78" s="90"/>
      <c r="H78" s="77" t="s">
        <v>116</v>
      </c>
    </row>
    <row r="79" spans="2:8" ht="33.6" customHeight="1" x14ac:dyDescent="0.25">
      <c r="B79" s="163">
        <v>3212</v>
      </c>
      <c r="C79" s="163"/>
      <c r="D79" s="163"/>
      <c r="E79" s="47" t="s">
        <v>193</v>
      </c>
      <c r="F79" s="62">
        <v>0</v>
      </c>
      <c r="G79" s="90"/>
      <c r="H79" s="77" t="s">
        <v>116</v>
      </c>
    </row>
    <row r="80" spans="2:8" ht="18" customHeight="1" x14ac:dyDescent="0.25">
      <c r="B80" s="160">
        <v>32</v>
      </c>
      <c r="C80" s="161"/>
      <c r="D80" s="162"/>
      <c r="E80" s="54" t="s">
        <v>13</v>
      </c>
      <c r="F80" s="63">
        <f>SUM(F81:F82)</f>
        <v>3980</v>
      </c>
      <c r="G80" s="107">
        <f>SUM(G81:G82)</f>
        <v>507.6</v>
      </c>
      <c r="H80" s="77">
        <f t="shared" ref="H80:H142" si="2">G80/F80*100</f>
        <v>12.753768844221106</v>
      </c>
    </row>
    <row r="81" spans="2:8" ht="18" customHeight="1" x14ac:dyDescent="0.25">
      <c r="B81" s="163">
        <v>3221</v>
      </c>
      <c r="C81" s="163"/>
      <c r="D81" s="163"/>
      <c r="E81" s="47" t="s">
        <v>88</v>
      </c>
      <c r="F81" s="62">
        <v>660</v>
      </c>
      <c r="G81" s="90"/>
      <c r="H81" s="79">
        <f t="shared" si="2"/>
        <v>0</v>
      </c>
    </row>
    <row r="82" spans="2:8" ht="18" customHeight="1" x14ac:dyDescent="0.25">
      <c r="B82" s="163">
        <v>3222</v>
      </c>
      <c r="C82" s="163"/>
      <c r="D82" s="163"/>
      <c r="E82" s="47" t="s">
        <v>89</v>
      </c>
      <c r="F82" s="62">
        <v>3320</v>
      </c>
      <c r="G82" s="90">
        <v>507.6</v>
      </c>
      <c r="H82" s="77">
        <f t="shared" si="2"/>
        <v>15.289156626506026</v>
      </c>
    </row>
    <row r="83" spans="2:8" s="56" customFormat="1" ht="18" customHeight="1" x14ac:dyDescent="0.25">
      <c r="B83" s="167">
        <v>94</v>
      </c>
      <c r="C83" s="168"/>
      <c r="D83" s="169"/>
      <c r="E83" s="74" t="s">
        <v>223</v>
      </c>
      <c r="F83" s="63">
        <f>F84</f>
        <v>0</v>
      </c>
      <c r="G83" s="107">
        <f>G84</f>
        <v>9801.619999999999</v>
      </c>
      <c r="H83" s="77" t="s">
        <v>116</v>
      </c>
    </row>
    <row r="84" spans="2:8" ht="18" customHeight="1" x14ac:dyDescent="0.25">
      <c r="B84" s="160">
        <v>31</v>
      </c>
      <c r="C84" s="161"/>
      <c r="D84" s="162"/>
      <c r="E84" s="74" t="s">
        <v>5</v>
      </c>
      <c r="F84" s="63">
        <f>SUM(F85:F87)</f>
        <v>0</v>
      </c>
      <c r="G84" s="92">
        <f>SUM(G85:G87)</f>
        <v>9801.619999999999</v>
      </c>
      <c r="H84" s="77" t="s">
        <v>116</v>
      </c>
    </row>
    <row r="85" spans="2:8" ht="18" customHeight="1" x14ac:dyDescent="0.25">
      <c r="B85" s="163">
        <v>3111</v>
      </c>
      <c r="C85" s="163"/>
      <c r="D85" s="163"/>
      <c r="E85" s="47" t="s">
        <v>42</v>
      </c>
      <c r="F85" s="62"/>
      <c r="G85" s="90">
        <v>8615.82</v>
      </c>
      <c r="H85" s="79" t="s">
        <v>116</v>
      </c>
    </row>
    <row r="86" spans="2:8" ht="18" customHeight="1" x14ac:dyDescent="0.25">
      <c r="B86" s="163">
        <v>3132</v>
      </c>
      <c r="C86" s="163"/>
      <c r="D86" s="163"/>
      <c r="E86" s="47" t="s">
        <v>158</v>
      </c>
      <c r="F86" s="62"/>
      <c r="G86" s="90">
        <v>19.8</v>
      </c>
      <c r="H86" s="79" t="s">
        <v>116</v>
      </c>
    </row>
    <row r="87" spans="2:8" ht="33.6" customHeight="1" x14ac:dyDescent="0.25">
      <c r="B87" s="163">
        <v>3212</v>
      </c>
      <c r="C87" s="163"/>
      <c r="D87" s="163"/>
      <c r="E87" s="47" t="s">
        <v>193</v>
      </c>
      <c r="F87" s="62"/>
      <c r="G87" s="90">
        <v>1166</v>
      </c>
      <c r="H87" s="79" t="s">
        <v>116</v>
      </c>
    </row>
    <row r="88" spans="2:8" s="56" customFormat="1" ht="18" customHeight="1" x14ac:dyDescent="0.25">
      <c r="B88" s="167">
        <v>52</v>
      </c>
      <c r="C88" s="168"/>
      <c r="D88" s="169"/>
      <c r="E88" s="54" t="s">
        <v>152</v>
      </c>
      <c r="F88" s="63">
        <f>F89+F93+F105+F107+F109</f>
        <v>3117800</v>
      </c>
      <c r="G88" s="92">
        <f>G89+G93+G105+G107+G109</f>
        <v>1652064.78</v>
      </c>
      <c r="H88" s="77">
        <f t="shared" si="2"/>
        <v>52.988157675283851</v>
      </c>
    </row>
    <row r="89" spans="2:8" ht="18" customHeight="1" x14ac:dyDescent="0.25">
      <c r="B89" s="160">
        <v>31</v>
      </c>
      <c r="C89" s="161"/>
      <c r="D89" s="162"/>
      <c r="E89" s="54" t="s">
        <v>5</v>
      </c>
      <c r="F89" s="63">
        <f>SUM(F90:F92)</f>
        <v>3097500</v>
      </c>
      <c r="G89" s="92">
        <f>SUM(G90:G92)</f>
        <v>1618417.8800000001</v>
      </c>
      <c r="H89" s="77">
        <f t="shared" si="2"/>
        <v>52.249164810330917</v>
      </c>
    </row>
    <row r="90" spans="2:8" ht="18" customHeight="1" x14ac:dyDescent="0.25">
      <c r="B90" s="163">
        <v>3111</v>
      </c>
      <c r="C90" s="163"/>
      <c r="D90" s="163"/>
      <c r="E90" s="47" t="s">
        <v>42</v>
      </c>
      <c r="F90" s="62">
        <v>2560000</v>
      </c>
      <c r="G90" s="90">
        <v>1334628.81</v>
      </c>
      <c r="H90" s="79">
        <f t="shared" si="2"/>
        <v>52.133937890625006</v>
      </c>
    </row>
    <row r="91" spans="2:8" ht="18" customHeight="1" x14ac:dyDescent="0.25">
      <c r="B91" s="163">
        <v>3121</v>
      </c>
      <c r="C91" s="163"/>
      <c r="D91" s="163"/>
      <c r="E91" s="47" t="s">
        <v>157</v>
      </c>
      <c r="F91" s="62">
        <v>115000</v>
      </c>
      <c r="G91" s="90">
        <v>63029.06</v>
      </c>
      <c r="H91" s="79">
        <f t="shared" si="2"/>
        <v>54.807878260869558</v>
      </c>
    </row>
    <row r="92" spans="2:8" ht="18" customHeight="1" x14ac:dyDescent="0.25">
      <c r="B92" s="163">
        <v>3132</v>
      </c>
      <c r="C92" s="163"/>
      <c r="D92" s="163"/>
      <c r="E92" s="47" t="s">
        <v>158</v>
      </c>
      <c r="F92" s="62">
        <v>422500</v>
      </c>
      <c r="G92" s="90">
        <v>220760.01</v>
      </c>
      <c r="H92" s="79">
        <f t="shared" si="2"/>
        <v>52.250889940828401</v>
      </c>
    </row>
    <row r="93" spans="2:8" ht="18" customHeight="1" x14ac:dyDescent="0.25">
      <c r="B93" s="160">
        <v>32</v>
      </c>
      <c r="C93" s="161"/>
      <c r="D93" s="162"/>
      <c r="E93" s="54" t="s">
        <v>13</v>
      </c>
      <c r="F93" s="63">
        <f>SUM(F94:F104)</f>
        <v>20300</v>
      </c>
      <c r="G93" s="92">
        <f>SUM(G94:G104)</f>
        <v>32602.9</v>
      </c>
      <c r="H93" s="77">
        <f t="shared" si="2"/>
        <v>160.60541871921183</v>
      </c>
    </row>
    <row r="94" spans="2:8" ht="18" customHeight="1" x14ac:dyDescent="0.25">
      <c r="B94" s="163">
        <v>3211</v>
      </c>
      <c r="C94" s="163"/>
      <c r="D94" s="163"/>
      <c r="E94" s="47" t="s">
        <v>44</v>
      </c>
      <c r="F94" s="62">
        <v>400</v>
      </c>
      <c r="G94" s="90">
        <v>966.28</v>
      </c>
      <c r="H94" s="79">
        <f t="shared" si="2"/>
        <v>241.56999999999996</v>
      </c>
    </row>
    <row r="95" spans="2:8" ht="18" customHeight="1" x14ac:dyDescent="0.25">
      <c r="B95" s="163">
        <v>3213</v>
      </c>
      <c r="C95" s="163"/>
      <c r="D95" s="163"/>
      <c r="E95" s="47" t="s">
        <v>87</v>
      </c>
      <c r="F95" s="62"/>
      <c r="G95" s="90"/>
      <c r="H95" s="79" t="s">
        <v>116</v>
      </c>
    </row>
    <row r="96" spans="2:8" ht="18" customHeight="1" x14ac:dyDescent="0.25">
      <c r="B96" s="163">
        <v>3221</v>
      </c>
      <c r="C96" s="163"/>
      <c r="D96" s="163"/>
      <c r="E96" s="47" t="s">
        <v>88</v>
      </c>
      <c r="F96" s="62">
        <v>0</v>
      </c>
      <c r="G96" s="90">
        <f>1609.57-1578.88</f>
        <v>30.689999999999827</v>
      </c>
      <c r="H96" s="79" t="s">
        <v>116</v>
      </c>
    </row>
    <row r="97" spans="2:8" ht="18" customHeight="1" x14ac:dyDescent="0.25">
      <c r="B97" s="163">
        <v>3222</v>
      </c>
      <c r="C97" s="163"/>
      <c r="D97" s="163"/>
      <c r="E97" s="47" t="s">
        <v>89</v>
      </c>
      <c r="F97" s="62">
        <v>660</v>
      </c>
      <c r="G97" s="90">
        <v>3345.35</v>
      </c>
      <c r="H97" s="79">
        <f t="shared" si="2"/>
        <v>506.87121212121207</v>
      </c>
    </row>
    <row r="98" spans="2:8" ht="18" customHeight="1" x14ac:dyDescent="0.25">
      <c r="B98" s="163">
        <v>3223</v>
      </c>
      <c r="C98" s="163"/>
      <c r="D98" s="163"/>
      <c r="E98" s="47" t="s">
        <v>90</v>
      </c>
      <c r="F98" s="62">
        <v>0</v>
      </c>
      <c r="G98" s="90">
        <v>90.02</v>
      </c>
      <c r="H98" s="79" t="s">
        <v>116</v>
      </c>
    </row>
    <row r="99" spans="2:8" ht="18" customHeight="1" x14ac:dyDescent="0.25">
      <c r="B99" s="164">
        <v>3227</v>
      </c>
      <c r="C99" s="165"/>
      <c r="D99" s="166"/>
      <c r="E99" s="47" t="s">
        <v>93</v>
      </c>
      <c r="F99" s="62"/>
      <c r="G99" s="90"/>
      <c r="H99" s="79" t="s">
        <v>116</v>
      </c>
    </row>
    <row r="100" spans="2:8" ht="18" customHeight="1" x14ac:dyDescent="0.25">
      <c r="B100" s="164">
        <v>3231</v>
      </c>
      <c r="C100" s="165"/>
      <c r="D100" s="166"/>
      <c r="E100" s="47" t="s">
        <v>94</v>
      </c>
      <c r="F100" s="62">
        <v>0</v>
      </c>
      <c r="G100" s="90">
        <v>1877.6</v>
      </c>
      <c r="H100" s="79" t="s">
        <v>116</v>
      </c>
    </row>
    <row r="101" spans="2:8" ht="18" customHeight="1" x14ac:dyDescent="0.25">
      <c r="B101" s="164">
        <v>3237</v>
      </c>
      <c r="C101" s="165"/>
      <c r="D101" s="166"/>
      <c r="E101" s="47" t="s">
        <v>115</v>
      </c>
      <c r="F101" s="62">
        <v>19240</v>
      </c>
      <c r="G101" s="90">
        <v>26271.599999999999</v>
      </c>
      <c r="H101" s="79">
        <f t="shared" si="2"/>
        <v>136.54677754677752</v>
      </c>
    </row>
    <row r="102" spans="2:8" ht="18" customHeight="1" x14ac:dyDescent="0.25">
      <c r="B102" s="164">
        <v>3293</v>
      </c>
      <c r="C102" s="165"/>
      <c r="D102" s="166"/>
      <c r="E102" s="47" t="s">
        <v>102</v>
      </c>
      <c r="F102" s="62">
        <v>0</v>
      </c>
      <c r="G102" s="90">
        <v>21.36</v>
      </c>
      <c r="H102" s="79" t="s">
        <v>116</v>
      </c>
    </row>
    <row r="103" spans="2:8" ht="18" customHeight="1" x14ac:dyDescent="0.25">
      <c r="B103" s="164">
        <v>3295</v>
      </c>
      <c r="C103" s="165"/>
      <c r="D103" s="166"/>
      <c r="E103" s="47" t="s">
        <v>103</v>
      </c>
      <c r="F103" s="62"/>
      <c r="G103" s="90"/>
      <c r="H103" s="79" t="s">
        <v>116</v>
      </c>
    </row>
    <row r="104" spans="2:8" ht="18" customHeight="1" x14ac:dyDescent="0.25">
      <c r="B104" s="164">
        <v>3296</v>
      </c>
      <c r="C104" s="165"/>
      <c r="D104" s="166"/>
      <c r="E104" s="47" t="s">
        <v>197</v>
      </c>
      <c r="F104" s="62"/>
      <c r="G104" s="90"/>
      <c r="H104" s="79" t="s">
        <v>116</v>
      </c>
    </row>
    <row r="105" spans="2:8" ht="18" customHeight="1" x14ac:dyDescent="0.25">
      <c r="B105" s="160">
        <v>34</v>
      </c>
      <c r="C105" s="161"/>
      <c r="D105" s="162"/>
      <c r="E105" s="54" t="s">
        <v>107</v>
      </c>
      <c r="F105" s="63">
        <f>F106</f>
        <v>0</v>
      </c>
      <c r="G105" s="107">
        <f>G106</f>
        <v>0</v>
      </c>
      <c r="H105" s="77" t="s">
        <v>116</v>
      </c>
    </row>
    <row r="106" spans="2:8" ht="18" customHeight="1" x14ac:dyDescent="0.25">
      <c r="B106" s="164">
        <v>3433</v>
      </c>
      <c r="C106" s="165"/>
      <c r="D106" s="166"/>
      <c r="E106" s="47" t="s">
        <v>199</v>
      </c>
      <c r="F106" s="62"/>
      <c r="G106" s="90"/>
      <c r="H106" s="79" t="s">
        <v>116</v>
      </c>
    </row>
    <row r="107" spans="2:8" ht="18" customHeight="1" x14ac:dyDescent="0.25">
      <c r="B107" s="160">
        <v>38</v>
      </c>
      <c r="C107" s="161"/>
      <c r="D107" s="162"/>
      <c r="E107" s="54" t="s">
        <v>172</v>
      </c>
      <c r="F107" s="63">
        <f>F108</f>
        <v>0</v>
      </c>
      <c r="G107" s="107">
        <f>G108</f>
        <v>1044</v>
      </c>
      <c r="H107" s="77" t="s">
        <v>116</v>
      </c>
    </row>
    <row r="108" spans="2:8" ht="18" customHeight="1" x14ac:dyDescent="0.25">
      <c r="B108" s="164">
        <v>3812</v>
      </c>
      <c r="C108" s="165"/>
      <c r="D108" s="166"/>
      <c r="E108" s="47" t="s">
        <v>213</v>
      </c>
      <c r="F108" s="62">
        <v>0</v>
      </c>
      <c r="G108" s="90">
        <v>1044</v>
      </c>
      <c r="H108" s="79" t="s">
        <v>116</v>
      </c>
    </row>
    <row r="109" spans="2:8" ht="30" customHeight="1" x14ac:dyDescent="0.25">
      <c r="B109" s="160">
        <v>42</v>
      </c>
      <c r="C109" s="161"/>
      <c r="D109" s="162"/>
      <c r="E109" s="54" t="s">
        <v>110</v>
      </c>
      <c r="F109" s="63">
        <f>F110+F111</f>
        <v>0</v>
      </c>
      <c r="G109" s="92"/>
      <c r="H109" s="77" t="s">
        <v>116</v>
      </c>
    </row>
    <row r="110" spans="2:8" ht="18" customHeight="1" x14ac:dyDescent="0.25">
      <c r="B110" s="164">
        <v>4214</v>
      </c>
      <c r="C110" s="165"/>
      <c r="D110" s="166"/>
      <c r="E110" s="47" t="s">
        <v>224</v>
      </c>
      <c r="F110" s="62"/>
      <c r="G110" s="90"/>
      <c r="H110" s="77" t="s">
        <v>116</v>
      </c>
    </row>
    <row r="111" spans="2:8" ht="18" customHeight="1" x14ac:dyDescent="0.25">
      <c r="B111" s="164">
        <v>4241</v>
      </c>
      <c r="C111" s="165"/>
      <c r="D111" s="166"/>
      <c r="E111" s="47" t="s">
        <v>163</v>
      </c>
      <c r="F111" s="62"/>
      <c r="G111" s="90"/>
      <c r="H111" s="79" t="s">
        <v>116</v>
      </c>
    </row>
    <row r="112" spans="2:8" s="56" customFormat="1" ht="18" customHeight="1" x14ac:dyDescent="0.25">
      <c r="B112" s="167">
        <v>95</v>
      </c>
      <c r="C112" s="168"/>
      <c r="D112" s="169"/>
      <c r="E112" s="74" t="s">
        <v>226</v>
      </c>
      <c r="F112" s="63">
        <f>F113</f>
        <v>0</v>
      </c>
      <c r="G112" s="92">
        <f>G113</f>
        <v>1578.88</v>
      </c>
      <c r="H112" s="77" t="s">
        <v>116</v>
      </c>
    </row>
    <row r="113" spans="2:8" ht="18" customHeight="1" x14ac:dyDescent="0.25">
      <c r="B113" s="160">
        <v>32</v>
      </c>
      <c r="C113" s="161"/>
      <c r="D113" s="162"/>
      <c r="E113" s="113" t="s">
        <v>13</v>
      </c>
      <c r="F113" s="63">
        <f>F114</f>
        <v>0</v>
      </c>
      <c r="G113" s="92">
        <f>G114</f>
        <v>1578.88</v>
      </c>
      <c r="H113" s="77" t="s">
        <v>116</v>
      </c>
    </row>
    <row r="114" spans="2:8" ht="18" customHeight="1" x14ac:dyDescent="0.25">
      <c r="B114" s="163">
        <v>3221</v>
      </c>
      <c r="C114" s="163"/>
      <c r="D114" s="163"/>
      <c r="E114" s="47" t="s">
        <v>88</v>
      </c>
      <c r="F114" s="62">
        <v>0</v>
      </c>
      <c r="G114" s="90">
        <v>1578.88</v>
      </c>
      <c r="H114" s="79" t="s">
        <v>116</v>
      </c>
    </row>
    <row r="115" spans="2:8" s="56" customFormat="1" ht="18" customHeight="1" x14ac:dyDescent="0.25">
      <c r="B115" s="167">
        <v>54</v>
      </c>
      <c r="C115" s="168"/>
      <c r="D115" s="169"/>
      <c r="E115" s="54" t="s">
        <v>164</v>
      </c>
      <c r="F115" s="63">
        <f>F116+F120</f>
        <v>37540</v>
      </c>
      <c r="G115" s="107">
        <f>G116+G120</f>
        <v>28148.190000000002</v>
      </c>
      <c r="H115" s="77">
        <f t="shared" si="2"/>
        <v>74.981859350026653</v>
      </c>
    </row>
    <row r="116" spans="2:8" ht="18" customHeight="1" x14ac:dyDescent="0.25">
      <c r="B116" s="160">
        <v>31</v>
      </c>
      <c r="C116" s="161"/>
      <c r="D116" s="162"/>
      <c r="E116" s="54" t="s">
        <v>5</v>
      </c>
      <c r="F116" s="63">
        <f>SUM(F117:F119)</f>
        <v>34240</v>
      </c>
      <c r="G116" s="92">
        <f>SUM(G117:G119)</f>
        <v>24330.31</v>
      </c>
      <c r="H116" s="77">
        <f t="shared" si="2"/>
        <v>71.058148364485987</v>
      </c>
    </row>
    <row r="117" spans="2:8" ht="18" customHeight="1" x14ac:dyDescent="0.25">
      <c r="B117" s="163">
        <v>3111</v>
      </c>
      <c r="C117" s="163"/>
      <c r="D117" s="163"/>
      <c r="E117" s="47" t="s">
        <v>42</v>
      </c>
      <c r="F117" s="62">
        <v>29400</v>
      </c>
      <c r="G117" s="90">
        <f>21075.63-1350</f>
        <v>19725.63</v>
      </c>
      <c r="H117" s="79">
        <f t="shared" si="2"/>
        <v>67.093979591836742</v>
      </c>
    </row>
    <row r="118" spans="2:8" ht="18" customHeight="1" x14ac:dyDescent="0.25">
      <c r="B118" s="163">
        <v>3121</v>
      </c>
      <c r="C118" s="163"/>
      <c r="D118" s="163"/>
      <c r="E118" s="47" t="s">
        <v>157</v>
      </c>
      <c r="F118" s="62"/>
      <c r="G118" s="90">
        <v>1350</v>
      </c>
      <c r="H118" s="79" t="s">
        <v>116</v>
      </c>
    </row>
    <row r="119" spans="2:8" ht="18" customHeight="1" x14ac:dyDescent="0.25">
      <c r="B119" s="163">
        <v>3132</v>
      </c>
      <c r="C119" s="163"/>
      <c r="D119" s="163"/>
      <c r="E119" s="47" t="s">
        <v>158</v>
      </c>
      <c r="F119" s="62">
        <v>4840</v>
      </c>
      <c r="G119" s="90">
        <v>3254.68</v>
      </c>
      <c r="H119" s="79">
        <f t="shared" si="2"/>
        <v>67.245454545454535</v>
      </c>
    </row>
    <row r="120" spans="2:8" ht="18" customHeight="1" x14ac:dyDescent="0.25">
      <c r="B120" s="160">
        <v>32</v>
      </c>
      <c r="C120" s="161"/>
      <c r="D120" s="162"/>
      <c r="E120" s="54" t="s">
        <v>13</v>
      </c>
      <c r="F120" s="63">
        <f>F121+F122+F123</f>
        <v>3300</v>
      </c>
      <c r="G120" s="107">
        <f>SUM(G121:G124)</f>
        <v>3817.88</v>
      </c>
      <c r="H120" s="77">
        <f t="shared" si="2"/>
        <v>115.69333333333334</v>
      </c>
    </row>
    <row r="121" spans="2:8" ht="34.9" customHeight="1" x14ac:dyDescent="0.25">
      <c r="B121" s="163">
        <v>3212</v>
      </c>
      <c r="C121" s="163"/>
      <c r="D121" s="163"/>
      <c r="E121" s="47" t="s">
        <v>193</v>
      </c>
      <c r="F121" s="62">
        <v>3300</v>
      </c>
      <c r="G121" s="90">
        <v>1599.41</v>
      </c>
      <c r="H121" s="79">
        <f t="shared" si="2"/>
        <v>48.466969696969699</v>
      </c>
    </row>
    <row r="122" spans="2:8" ht="18" customHeight="1" x14ac:dyDescent="0.25">
      <c r="B122" s="163">
        <v>3222</v>
      </c>
      <c r="C122" s="163"/>
      <c r="D122" s="163"/>
      <c r="E122" s="47" t="s">
        <v>89</v>
      </c>
      <c r="F122" s="62"/>
      <c r="G122" s="90">
        <v>2218.4699999999998</v>
      </c>
      <c r="H122" s="79" t="s">
        <v>116</v>
      </c>
    </row>
    <row r="123" spans="2:8" ht="18" customHeight="1" x14ac:dyDescent="0.25">
      <c r="B123" s="164">
        <v>3232</v>
      </c>
      <c r="C123" s="165"/>
      <c r="D123" s="166"/>
      <c r="E123" s="47" t="s">
        <v>95</v>
      </c>
      <c r="F123" s="62"/>
      <c r="G123" s="90"/>
      <c r="H123" s="79" t="s">
        <v>116</v>
      </c>
    </row>
    <row r="124" spans="2:8" ht="18" customHeight="1" x14ac:dyDescent="0.25">
      <c r="B124" s="164">
        <v>3293</v>
      </c>
      <c r="C124" s="165"/>
      <c r="D124" s="166"/>
      <c r="E124" s="47" t="s">
        <v>102</v>
      </c>
      <c r="F124" s="62"/>
      <c r="G124" s="90"/>
      <c r="H124" s="79" t="s">
        <v>116</v>
      </c>
    </row>
    <row r="125" spans="2:8" s="56" customFormat="1" ht="18" customHeight="1" x14ac:dyDescent="0.25">
      <c r="B125" s="167">
        <v>57</v>
      </c>
      <c r="C125" s="168"/>
      <c r="D125" s="169"/>
      <c r="E125" s="54" t="s">
        <v>165</v>
      </c>
      <c r="F125" s="63">
        <f>F126+F129+F143</f>
        <v>51410</v>
      </c>
      <c r="G125" s="92">
        <f>G126+G129+G143</f>
        <v>16484.960000000003</v>
      </c>
      <c r="H125" s="77">
        <f t="shared" si="2"/>
        <v>32.065668157945929</v>
      </c>
    </row>
    <row r="126" spans="2:8" ht="18" customHeight="1" x14ac:dyDescent="0.25">
      <c r="B126" s="160">
        <v>31</v>
      </c>
      <c r="C126" s="161"/>
      <c r="D126" s="162"/>
      <c r="E126" s="54" t="s">
        <v>5</v>
      </c>
      <c r="F126" s="63">
        <f>SUM(F127:F128)</f>
        <v>5410</v>
      </c>
      <c r="G126" s="92">
        <f>G127+G128</f>
        <v>0</v>
      </c>
      <c r="H126" s="77">
        <f t="shared" si="2"/>
        <v>0</v>
      </c>
    </row>
    <row r="127" spans="2:8" ht="18" customHeight="1" x14ac:dyDescent="0.25">
      <c r="B127" s="163">
        <v>3111</v>
      </c>
      <c r="C127" s="163"/>
      <c r="D127" s="163"/>
      <c r="E127" s="47" t="s">
        <v>42</v>
      </c>
      <c r="F127" s="62">
        <v>4640</v>
      </c>
      <c r="G127" s="90"/>
      <c r="H127" s="79">
        <f t="shared" si="2"/>
        <v>0</v>
      </c>
    </row>
    <row r="128" spans="2:8" ht="18" customHeight="1" x14ac:dyDescent="0.25">
      <c r="B128" s="163">
        <v>3132</v>
      </c>
      <c r="C128" s="163"/>
      <c r="D128" s="163"/>
      <c r="E128" s="47" t="s">
        <v>158</v>
      </c>
      <c r="F128" s="62">
        <v>770</v>
      </c>
      <c r="G128" s="90"/>
      <c r="H128" s="79">
        <f t="shared" si="2"/>
        <v>0</v>
      </c>
    </row>
    <row r="129" spans="2:8" ht="18" customHeight="1" x14ac:dyDescent="0.25">
      <c r="B129" s="160">
        <v>32</v>
      </c>
      <c r="C129" s="161"/>
      <c r="D129" s="162"/>
      <c r="E129" s="54" t="s">
        <v>13</v>
      </c>
      <c r="F129" s="63">
        <f>SUM(F130:F142)</f>
        <v>34300</v>
      </c>
      <c r="G129" s="92">
        <f>SUM(G130:G142)</f>
        <v>16484.960000000003</v>
      </c>
      <c r="H129" s="77">
        <f t="shared" si="2"/>
        <v>48.061107871720125</v>
      </c>
    </row>
    <row r="130" spans="2:8" ht="18" customHeight="1" x14ac:dyDescent="0.25">
      <c r="B130" s="163">
        <v>3211</v>
      </c>
      <c r="C130" s="163"/>
      <c r="D130" s="163"/>
      <c r="E130" s="47" t="s">
        <v>44</v>
      </c>
      <c r="F130" s="62">
        <f>32000-23000</f>
        <v>9000</v>
      </c>
      <c r="G130" s="90">
        <f>14002.19-10000</f>
        <v>4002.1900000000005</v>
      </c>
      <c r="H130" s="79">
        <f t="shared" si="2"/>
        <v>44.468777777777788</v>
      </c>
    </row>
    <row r="131" spans="2:8" ht="18" customHeight="1" x14ac:dyDescent="0.25">
      <c r="B131" s="163">
        <v>3213</v>
      </c>
      <c r="C131" s="163"/>
      <c r="D131" s="163"/>
      <c r="E131" s="47" t="s">
        <v>87</v>
      </c>
      <c r="F131" s="62"/>
      <c r="G131" s="90">
        <v>796.34</v>
      </c>
      <c r="H131" s="79" t="s">
        <v>116</v>
      </c>
    </row>
    <row r="132" spans="2:8" ht="33.6" customHeight="1" x14ac:dyDescent="0.25">
      <c r="B132" s="163">
        <v>3212</v>
      </c>
      <c r="C132" s="163"/>
      <c r="D132" s="163"/>
      <c r="E132" s="47" t="s">
        <v>193</v>
      </c>
      <c r="F132" s="62">
        <v>320</v>
      </c>
      <c r="G132" s="90"/>
      <c r="H132" s="79">
        <f t="shared" si="2"/>
        <v>0</v>
      </c>
    </row>
    <row r="133" spans="2:8" ht="18" customHeight="1" x14ac:dyDescent="0.25">
      <c r="B133" s="163">
        <v>3221</v>
      </c>
      <c r="C133" s="163"/>
      <c r="D133" s="163"/>
      <c r="E133" s="47" t="s">
        <v>88</v>
      </c>
      <c r="F133" s="62">
        <f>4300-2000</f>
        <v>2300</v>
      </c>
      <c r="G133" s="90"/>
      <c r="H133" s="79">
        <f t="shared" si="2"/>
        <v>0</v>
      </c>
    </row>
    <row r="134" spans="2:8" ht="18" customHeight="1" x14ac:dyDescent="0.25">
      <c r="B134" s="163">
        <v>3222</v>
      </c>
      <c r="C134" s="163"/>
      <c r="D134" s="163"/>
      <c r="E134" s="47" t="s">
        <v>89</v>
      </c>
      <c r="F134" s="62"/>
      <c r="G134" s="90"/>
      <c r="H134" s="79" t="s">
        <v>116</v>
      </c>
    </row>
    <row r="135" spans="2:8" ht="18" customHeight="1" x14ac:dyDescent="0.25">
      <c r="B135" s="163">
        <v>3223</v>
      </c>
      <c r="C135" s="163"/>
      <c r="D135" s="163"/>
      <c r="E135" s="47" t="s">
        <v>90</v>
      </c>
      <c r="F135" s="62">
        <f>2840+2840</f>
        <v>5680</v>
      </c>
      <c r="G135" s="90"/>
      <c r="H135" s="79">
        <f t="shared" si="2"/>
        <v>0</v>
      </c>
    </row>
    <row r="136" spans="2:8" ht="30" customHeight="1" x14ac:dyDescent="0.25">
      <c r="B136" s="164">
        <v>3224</v>
      </c>
      <c r="C136" s="165"/>
      <c r="D136" s="166"/>
      <c r="E136" s="47" t="s">
        <v>91</v>
      </c>
      <c r="F136" s="62"/>
      <c r="G136" s="90"/>
      <c r="H136" s="79" t="s">
        <v>116</v>
      </c>
    </row>
    <row r="137" spans="2:8" ht="18" customHeight="1" x14ac:dyDescent="0.25">
      <c r="B137" s="164">
        <v>3227</v>
      </c>
      <c r="C137" s="165"/>
      <c r="D137" s="166"/>
      <c r="E137" s="47" t="s">
        <v>93</v>
      </c>
      <c r="F137" s="62"/>
      <c r="G137" s="90"/>
      <c r="H137" s="79" t="s">
        <v>116</v>
      </c>
    </row>
    <row r="138" spans="2:8" ht="18" customHeight="1" x14ac:dyDescent="0.25">
      <c r="B138" s="164">
        <v>3239</v>
      </c>
      <c r="C138" s="165"/>
      <c r="D138" s="166"/>
      <c r="E138" s="47" t="s">
        <v>100</v>
      </c>
      <c r="F138" s="62">
        <v>3000</v>
      </c>
      <c r="G138" s="90">
        <v>1199.43</v>
      </c>
      <c r="H138" s="79">
        <f t="shared" si="2"/>
        <v>39.981000000000002</v>
      </c>
    </row>
    <row r="139" spans="2:8" ht="34.15" customHeight="1" x14ac:dyDescent="0.25">
      <c r="B139" s="164">
        <v>3241</v>
      </c>
      <c r="C139" s="165"/>
      <c r="D139" s="166"/>
      <c r="E139" s="47" t="s">
        <v>195</v>
      </c>
      <c r="F139" s="62">
        <f>35000-25000</f>
        <v>10000</v>
      </c>
      <c r="G139" s="90">
        <f>24881.9-15000</f>
        <v>9881.9000000000015</v>
      </c>
      <c r="H139" s="79">
        <f t="shared" si="2"/>
        <v>98.819000000000017</v>
      </c>
    </row>
    <row r="140" spans="2:8" ht="18" customHeight="1" x14ac:dyDescent="0.25">
      <c r="B140" s="164">
        <v>3292</v>
      </c>
      <c r="C140" s="165"/>
      <c r="D140" s="166"/>
      <c r="E140" s="47" t="s">
        <v>101</v>
      </c>
      <c r="F140" s="62">
        <v>1000</v>
      </c>
      <c r="G140" s="90">
        <v>112.03</v>
      </c>
      <c r="H140" s="79">
        <f t="shared" si="2"/>
        <v>11.203000000000001</v>
      </c>
    </row>
    <row r="141" spans="2:8" ht="18" customHeight="1" x14ac:dyDescent="0.25">
      <c r="B141" s="164">
        <v>3293</v>
      </c>
      <c r="C141" s="165"/>
      <c r="D141" s="166"/>
      <c r="E141" s="47" t="s">
        <v>102</v>
      </c>
      <c r="F141" s="62">
        <v>2000</v>
      </c>
      <c r="G141" s="90">
        <v>130.66999999999999</v>
      </c>
      <c r="H141" s="79">
        <f t="shared" si="2"/>
        <v>6.5334999999999992</v>
      </c>
    </row>
    <row r="142" spans="2:8" ht="18" customHeight="1" x14ac:dyDescent="0.25">
      <c r="B142" s="164">
        <v>3299</v>
      </c>
      <c r="C142" s="165"/>
      <c r="D142" s="166"/>
      <c r="E142" s="47" t="s">
        <v>104</v>
      </c>
      <c r="F142" s="62">
        <v>1000</v>
      </c>
      <c r="G142" s="90">
        <v>362.4</v>
      </c>
      <c r="H142" s="79">
        <f t="shared" si="2"/>
        <v>36.24</v>
      </c>
    </row>
    <row r="143" spans="2:8" ht="30" customHeight="1" x14ac:dyDescent="0.25">
      <c r="B143" s="160">
        <v>42</v>
      </c>
      <c r="C143" s="161"/>
      <c r="D143" s="162"/>
      <c r="E143" s="54" t="s">
        <v>110</v>
      </c>
      <c r="F143" s="63">
        <f>F144</f>
        <v>11700</v>
      </c>
      <c r="G143" s="92">
        <f>G144</f>
        <v>0</v>
      </c>
      <c r="H143" s="77">
        <f t="shared" ref="H143:H164" si="3">G143/F143*100</f>
        <v>0</v>
      </c>
    </row>
    <row r="144" spans="2:8" ht="18" customHeight="1" x14ac:dyDescent="0.25">
      <c r="B144" s="164">
        <v>4227</v>
      </c>
      <c r="C144" s="165"/>
      <c r="D144" s="166"/>
      <c r="E144" s="47" t="s">
        <v>112</v>
      </c>
      <c r="F144" s="62">
        <v>11700</v>
      </c>
      <c r="G144" s="90"/>
      <c r="H144" s="79">
        <f t="shared" si="3"/>
        <v>0</v>
      </c>
    </row>
    <row r="145" spans="2:8" s="56" customFormat="1" ht="18" customHeight="1" x14ac:dyDescent="0.25">
      <c r="B145" s="167">
        <v>95</v>
      </c>
      <c r="C145" s="168"/>
      <c r="D145" s="169"/>
      <c r="E145" s="75" t="s">
        <v>227</v>
      </c>
      <c r="F145" s="63">
        <f>F146</f>
        <v>50000</v>
      </c>
      <c r="G145" s="92">
        <f>G146</f>
        <v>25000</v>
      </c>
      <c r="H145" s="77">
        <f t="shared" si="3"/>
        <v>50</v>
      </c>
    </row>
    <row r="146" spans="2:8" ht="18" customHeight="1" x14ac:dyDescent="0.25">
      <c r="B146" s="160">
        <v>32</v>
      </c>
      <c r="C146" s="161"/>
      <c r="D146" s="162"/>
      <c r="E146" s="75" t="s">
        <v>13</v>
      </c>
      <c r="F146" s="63">
        <f>SUM(F147:F153)</f>
        <v>50000</v>
      </c>
      <c r="G146" s="92">
        <f>SUM(G147:G153)</f>
        <v>25000</v>
      </c>
      <c r="H146" s="77">
        <f t="shared" si="3"/>
        <v>50</v>
      </c>
    </row>
    <row r="147" spans="2:8" ht="18" customHeight="1" x14ac:dyDescent="0.25">
      <c r="B147" s="163">
        <v>3211</v>
      </c>
      <c r="C147" s="163"/>
      <c r="D147" s="163"/>
      <c r="E147" s="47" t="s">
        <v>44</v>
      </c>
      <c r="F147" s="62">
        <v>23000</v>
      </c>
      <c r="G147" s="90">
        <v>10000</v>
      </c>
      <c r="H147" s="79">
        <f t="shared" si="3"/>
        <v>43.478260869565219</v>
      </c>
    </row>
    <row r="148" spans="2:8" ht="18" customHeight="1" x14ac:dyDescent="0.25">
      <c r="B148" s="163">
        <v>3221</v>
      </c>
      <c r="C148" s="163"/>
      <c r="D148" s="163"/>
      <c r="E148" s="47" t="s">
        <v>88</v>
      </c>
      <c r="F148" s="62">
        <v>2000</v>
      </c>
      <c r="G148" s="90"/>
      <c r="H148" s="79">
        <f t="shared" si="3"/>
        <v>0</v>
      </c>
    </row>
    <row r="149" spans="2:8" ht="30" customHeight="1" x14ac:dyDescent="0.25">
      <c r="B149" s="164">
        <v>3224</v>
      </c>
      <c r="C149" s="165"/>
      <c r="D149" s="166"/>
      <c r="E149" s="47" t="s">
        <v>91</v>
      </c>
      <c r="F149" s="62"/>
      <c r="G149" s="90"/>
      <c r="H149" s="79" t="s">
        <v>116</v>
      </c>
    </row>
    <row r="150" spans="2:8" ht="18" customHeight="1" x14ac:dyDescent="0.25">
      <c r="B150" s="164">
        <v>3227</v>
      </c>
      <c r="C150" s="165"/>
      <c r="D150" s="166"/>
      <c r="E150" s="47" t="s">
        <v>93</v>
      </c>
      <c r="F150" s="62"/>
      <c r="G150" s="90"/>
      <c r="H150" s="79" t="s">
        <v>116</v>
      </c>
    </row>
    <row r="151" spans="2:8" ht="18" customHeight="1" x14ac:dyDescent="0.25">
      <c r="B151" s="164">
        <v>3239</v>
      </c>
      <c r="C151" s="165"/>
      <c r="D151" s="166"/>
      <c r="E151" s="47" t="s">
        <v>100</v>
      </c>
      <c r="F151" s="62"/>
      <c r="G151" s="90"/>
      <c r="H151" s="79" t="s">
        <v>116</v>
      </c>
    </row>
    <row r="152" spans="2:8" ht="34.15" customHeight="1" x14ac:dyDescent="0.25">
      <c r="B152" s="164">
        <v>3241</v>
      </c>
      <c r="C152" s="165"/>
      <c r="D152" s="166"/>
      <c r="E152" s="47" t="s">
        <v>195</v>
      </c>
      <c r="F152" s="62">
        <v>25000</v>
      </c>
      <c r="G152" s="90">
        <v>15000</v>
      </c>
      <c r="H152" s="79">
        <f t="shared" si="3"/>
        <v>60</v>
      </c>
    </row>
    <row r="153" spans="2:8" ht="18" customHeight="1" x14ac:dyDescent="0.25">
      <c r="B153" s="164">
        <v>3292</v>
      </c>
      <c r="C153" s="165"/>
      <c r="D153" s="166"/>
      <c r="E153" s="47" t="s">
        <v>101</v>
      </c>
      <c r="F153" s="62"/>
      <c r="G153" s="90"/>
      <c r="H153" s="79" t="s">
        <v>116</v>
      </c>
    </row>
    <row r="154" spans="2:8" s="56" customFormat="1" ht="18" customHeight="1" x14ac:dyDescent="0.25">
      <c r="B154" s="167">
        <v>71</v>
      </c>
      <c r="C154" s="168"/>
      <c r="D154" s="169"/>
      <c r="E154" s="54" t="s">
        <v>26</v>
      </c>
      <c r="F154" s="63">
        <f>F155</f>
        <v>100</v>
      </c>
      <c r="G154" s="107">
        <f>G155</f>
        <v>67.42</v>
      </c>
      <c r="H154" s="77">
        <f t="shared" si="3"/>
        <v>67.42</v>
      </c>
    </row>
    <row r="155" spans="2:8" ht="18" customHeight="1" x14ac:dyDescent="0.25">
      <c r="B155" s="160">
        <v>32</v>
      </c>
      <c r="C155" s="161"/>
      <c r="D155" s="162"/>
      <c r="E155" s="54" t="s">
        <v>13</v>
      </c>
      <c r="F155" s="63">
        <f>F156+F157</f>
        <v>100</v>
      </c>
      <c r="G155" s="107">
        <f>G156+G157</f>
        <v>67.42</v>
      </c>
      <c r="H155" s="77">
        <f t="shared" si="3"/>
        <v>67.42</v>
      </c>
    </row>
    <row r="156" spans="2:8" ht="30" customHeight="1" x14ac:dyDescent="0.25">
      <c r="B156" s="164">
        <v>3224</v>
      </c>
      <c r="C156" s="165"/>
      <c r="D156" s="166"/>
      <c r="E156" s="47" t="s">
        <v>91</v>
      </c>
      <c r="F156" s="62">
        <v>50</v>
      </c>
      <c r="G156" s="90">
        <v>33.71</v>
      </c>
      <c r="H156" s="79">
        <f t="shared" si="3"/>
        <v>67.42</v>
      </c>
    </row>
    <row r="157" spans="2:8" ht="18" customHeight="1" x14ac:dyDescent="0.25">
      <c r="B157" s="164">
        <v>3232</v>
      </c>
      <c r="C157" s="165"/>
      <c r="D157" s="166"/>
      <c r="E157" s="47" t="s">
        <v>95</v>
      </c>
      <c r="F157" s="62">
        <v>50</v>
      </c>
      <c r="G157" s="90">
        <v>33.71</v>
      </c>
      <c r="H157" s="79">
        <f t="shared" si="3"/>
        <v>67.42</v>
      </c>
    </row>
    <row r="158" spans="2:8" s="56" customFormat="1" ht="43.9" customHeight="1" x14ac:dyDescent="0.25">
      <c r="B158" s="170" t="s">
        <v>239</v>
      </c>
      <c r="C158" s="170"/>
      <c r="D158" s="170"/>
      <c r="E158" s="57" t="s">
        <v>170</v>
      </c>
      <c r="F158" s="63">
        <f t="shared" ref="F158:G160" si="4">F159</f>
        <v>0</v>
      </c>
      <c r="G158" s="107">
        <f t="shared" si="4"/>
        <v>2948.7</v>
      </c>
      <c r="H158" s="77" t="s">
        <v>116</v>
      </c>
    </row>
    <row r="159" spans="2:8" s="56" customFormat="1" ht="18" customHeight="1" x14ac:dyDescent="0.25">
      <c r="B159" s="167">
        <v>57</v>
      </c>
      <c r="C159" s="168"/>
      <c r="D159" s="169"/>
      <c r="E159" s="57" t="s">
        <v>165</v>
      </c>
      <c r="F159" s="63">
        <f t="shared" si="4"/>
        <v>0</v>
      </c>
      <c r="G159" s="92">
        <f t="shared" si="4"/>
        <v>2948.7</v>
      </c>
      <c r="H159" s="77" t="s">
        <v>116</v>
      </c>
    </row>
    <row r="160" spans="2:8" ht="18" customHeight="1" x14ac:dyDescent="0.25">
      <c r="B160" s="160">
        <v>32</v>
      </c>
      <c r="C160" s="161"/>
      <c r="D160" s="162"/>
      <c r="E160" s="57" t="s">
        <v>13</v>
      </c>
      <c r="F160" s="63">
        <f t="shared" si="4"/>
        <v>0</v>
      </c>
      <c r="G160" s="92">
        <f t="shared" si="4"/>
        <v>2948.7</v>
      </c>
      <c r="H160" s="77" t="s">
        <v>116</v>
      </c>
    </row>
    <row r="161" spans="2:8" ht="18" customHeight="1" x14ac:dyDescent="0.25">
      <c r="B161" s="163">
        <v>3222</v>
      </c>
      <c r="C161" s="163"/>
      <c r="D161" s="163"/>
      <c r="E161" s="47" t="s">
        <v>89</v>
      </c>
      <c r="F161" s="62"/>
      <c r="G161" s="90">
        <v>2948.7</v>
      </c>
      <c r="H161" s="79" t="s">
        <v>116</v>
      </c>
    </row>
    <row r="162" spans="2:8" s="56" customFormat="1" ht="43.9" customHeight="1" x14ac:dyDescent="0.25">
      <c r="B162" s="170" t="s">
        <v>168</v>
      </c>
      <c r="C162" s="170"/>
      <c r="D162" s="170"/>
      <c r="E162" s="57" t="s">
        <v>169</v>
      </c>
      <c r="F162" s="63">
        <f>F163</f>
        <v>1530</v>
      </c>
      <c r="G162" s="107">
        <f>G163</f>
        <v>636.79999999999995</v>
      </c>
      <c r="H162" s="77">
        <f t="shared" si="3"/>
        <v>41.620915032679733</v>
      </c>
    </row>
    <row r="163" spans="2:8" s="56" customFormat="1" ht="18" customHeight="1" x14ac:dyDescent="0.25">
      <c r="B163" s="167">
        <v>11</v>
      </c>
      <c r="C163" s="168"/>
      <c r="D163" s="169"/>
      <c r="E163" s="74" t="s">
        <v>139</v>
      </c>
      <c r="F163" s="63">
        <f>F164</f>
        <v>1530</v>
      </c>
      <c r="G163" s="92">
        <f>G164</f>
        <v>636.79999999999995</v>
      </c>
      <c r="H163" s="77">
        <f t="shared" si="3"/>
        <v>41.620915032679733</v>
      </c>
    </row>
    <row r="164" spans="2:8" ht="18" customHeight="1" x14ac:dyDescent="0.25">
      <c r="B164" s="160">
        <v>32</v>
      </c>
      <c r="C164" s="161"/>
      <c r="D164" s="162"/>
      <c r="E164" s="57" t="s">
        <v>13</v>
      </c>
      <c r="F164" s="63">
        <f>SUM(F165:F165)</f>
        <v>1530</v>
      </c>
      <c r="G164" s="92">
        <f>SUM(G165:G165)</f>
        <v>636.79999999999995</v>
      </c>
      <c r="H164" s="77">
        <f t="shared" si="3"/>
        <v>41.620915032679733</v>
      </c>
    </row>
    <row r="165" spans="2:8" ht="18" customHeight="1" x14ac:dyDescent="0.25">
      <c r="B165" s="164">
        <v>3238</v>
      </c>
      <c r="C165" s="165"/>
      <c r="D165" s="166"/>
      <c r="E165" s="47" t="s">
        <v>99</v>
      </c>
      <c r="F165" s="62">
        <v>1530</v>
      </c>
      <c r="G165" s="90">
        <v>636.79999999999995</v>
      </c>
      <c r="H165" s="79" t="s">
        <v>116</v>
      </c>
    </row>
    <row r="166" spans="2:8" s="56" customFormat="1" ht="43.9" customHeight="1" x14ac:dyDescent="0.25">
      <c r="B166" s="170" t="s">
        <v>144</v>
      </c>
      <c r="C166" s="170"/>
      <c r="D166" s="170"/>
      <c r="E166" s="111" t="s">
        <v>147</v>
      </c>
      <c r="F166" s="63">
        <f>F167</f>
        <v>16120</v>
      </c>
      <c r="G166" s="107">
        <f>G167</f>
        <v>9989.86</v>
      </c>
      <c r="H166" s="77">
        <f t="shared" ref="H166:H171" si="5">G166/F166*100</f>
        <v>61.971836228287849</v>
      </c>
    </row>
    <row r="167" spans="2:8" s="56" customFormat="1" ht="18" customHeight="1" x14ac:dyDescent="0.25">
      <c r="B167" s="167">
        <v>11</v>
      </c>
      <c r="C167" s="168"/>
      <c r="D167" s="169"/>
      <c r="E167" s="111" t="s">
        <v>139</v>
      </c>
      <c r="F167" s="63">
        <f>F168+F171</f>
        <v>16120</v>
      </c>
      <c r="G167" s="92">
        <f>G168+G171</f>
        <v>9989.86</v>
      </c>
      <c r="H167" s="77">
        <f t="shared" si="5"/>
        <v>61.971836228287849</v>
      </c>
    </row>
    <row r="168" spans="2:8" ht="18" customHeight="1" x14ac:dyDescent="0.25">
      <c r="B168" s="160">
        <v>31</v>
      </c>
      <c r="C168" s="161"/>
      <c r="D168" s="162"/>
      <c r="E168" s="111" t="s">
        <v>5</v>
      </c>
      <c r="F168" s="63">
        <f>SUM(F169:F170)</f>
        <v>14680</v>
      </c>
      <c r="G168" s="92">
        <f>G169+G170</f>
        <v>9289.84</v>
      </c>
      <c r="H168" s="77">
        <f t="shared" si="5"/>
        <v>63.282288828337876</v>
      </c>
    </row>
    <row r="169" spans="2:8" ht="18" customHeight="1" x14ac:dyDescent="0.25">
      <c r="B169" s="163">
        <v>3111</v>
      </c>
      <c r="C169" s="163"/>
      <c r="D169" s="163"/>
      <c r="E169" s="47" t="s">
        <v>42</v>
      </c>
      <c r="F169" s="62">
        <v>12600</v>
      </c>
      <c r="G169" s="90">
        <f>6823.89+600+450+290.02</f>
        <v>8163.91</v>
      </c>
      <c r="H169" s="79">
        <f t="shared" si="5"/>
        <v>64.792936507936503</v>
      </c>
    </row>
    <row r="170" spans="2:8" ht="18" customHeight="1" x14ac:dyDescent="0.25">
      <c r="B170" s="163">
        <v>3132</v>
      </c>
      <c r="C170" s="163"/>
      <c r="D170" s="163"/>
      <c r="E170" s="47" t="s">
        <v>158</v>
      </c>
      <c r="F170" s="62">
        <v>2080</v>
      </c>
      <c r="G170" s="90">
        <v>1125.93</v>
      </c>
      <c r="H170" s="79">
        <f t="shared" ref="H170" si="6">G170/F170*100</f>
        <v>54.131250000000009</v>
      </c>
    </row>
    <row r="171" spans="2:8" ht="18" customHeight="1" x14ac:dyDescent="0.25">
      <c r="B171" s="160">
        <v>32</v>
      </c>
      <c r="C171" s="161"/>
      <c r="D171" s="162"/>
      <c r="E171" s="111" t="s">
        <v>13</v>
      </c>
      <c r="F171" s="63">
        <f>F172</f>
        <v>1440</v>
      </c>
      <c r="G171" s="92">
        <f>G172+G173+G174</f>
        <v>700.02</v>
      </c>
      <c r="H171" s="77">
        <f t="shared" si="5"/>
        <v>48.612499999999997</v>
      </c>
    </row>
    <row r="172" spans="2:8" ht="27.75" customHeight="1" x14ac:dyDescent="0.25">
      <c r="B172" s="163">
        <v>3212</v>
      </c>
      <c r="C172" s="163"/>
      <c r="D172" s="163"/>
      <c r="E172" s="47" t="s">
        <v>193</v>
      </c>
      <c r="F172" s="62">
        <v>1440</v>
      </c>
      <c r="G172" s="90">
        <v>576.99</v>
      </c>
      <c r="H172" s="79" t="s">
        <v>116</v>
      </c>
    </row>
    <row r="173" spans="2:8" ht="18" customHeight="1" x14ac:dyDescent="0.25">
      <c r="B173" s="163">
        <v>3222</v>
      </c>
      <c r="C173" s="163"/>
      <c r="D173" s="163"/>
      <c r="E173" s="47" t="s">
        <v>89</v>
      </c>
      <c r="F173" s="62"/>
      <c r="G173" s="90">
        <v>39.5</v>
      </c>
      <c r="H173" s="79" t="s">
        <v>116</v>
      </c>
    </row>
    <row r="174" spans="2:8" ht="18" customHeight="1" x14ac:dyDescent="0.25">
      <c r="B174" s="164">
        <v>3299</v>
      </c>
      <c r="C174" s="165"/>
      <c r="D174" s="166"/>
      <c r="E174" s="47" t="s">
        <v>104</v>
      </c>
      <c r="F174" s="62"/>
      <c r="G174" s="90">
        <v>83.53</v>
      </c>
      <c r="H174" s="79" t="s">
        <v>116</v>
      </c>
    </row>
    <row r="175" spans="2:8" s="56" customFormat="1" ht="43.9" customHeight="1" x14ac:dyDescent="0.25">
      <c r="B175" s="170" t="s">
        <v>225</v>
      </c>
      <c r="C175" s="170"/>
      <c r="D175" s="170"/>
      <c r="E175" s="57" t="s">
        <v>171</v>
      </c>
      <c r="F175" s="63">
        <f>F176</f>
        <v>0</v>
      </c>
      <c r="G175" s="107">
        <f>G176</f>
        <v>1555.38</v>
      </c>
      <c r="H175" s="77" t="s">
        <v>116</v>
      </c>
    </row>
    <row r="176" spans="2:8" s="56" customFormat="1" ht="18" customHeight="1" x14ac:dyDescent="0.25">
      <c r="B176" s="167">
        <v>11</v>
      </c>
      <c r="C176" s="168"/>
      <c r="D176" s="169"/>
      <c r="E176" s="57" t="s">
        <v>139</v>
      </c>
      <c r="F176" s="63">
        <f>F177+F179</f>
        <v>0</v>
      </c>
      <c r="G176" s="92">
        <f>G177+G179</f>
        <v>1555.38</v>
      </c>
      <c r="H176" s="77" t="s">
        <v>116</v>
      </c>
    </row>
    <row r="177" spans="2:8" ht="18" customHeight="1" x14ac:dyDescent="0.25">
      <c r="B177" s="160">
        <v>31</v>
      </c>
      <c r="C177" s="161"/>
      <c r="D177" s="162"/>
      <c r="E177" s="57" t="s">
        <v>5</v>
      </c>
      <c r="F177" s="63">
        <f>SUM(F178:F178)</f>
        <v>0</v>
      </c>
      <c r="G177" s="92">
        <f>G178</f>
        <v>597.15</v>
      </c>
      <c r="H177" s="77" t="s">
        <v>116</v>
      </c>
    </row>
    <row r="178" spans="2:8" ht="18" customHeight="1" x14ac:dyDescent="0.25">
      <c r="B178" s="164">
        <v>3111</v>
      </c>
      <c r="C178" s="165"/>
      <c r="D178" s="166"/>
      <c r="E178" s="47" t="s">
        <v>42</v>
      </c>
      <c r="F178" s="62"/>
      <c r="G178" s="90">
        <f>512.55+84.6</f>
        <v>597.15</v>
      </c>
      <c r="H178" s="79" t="s">
        <v>116</v>
      </c>
    </row>
    <row r="179" spans="2:8" ht="18" customHeight="1" x14ac:dyDescent="0.25">
      <c r="B179" s="160">
        <v>32</v>
      </c>
      <c r="C179" s="161"/>
      <c r="D179" s="162"/>
      <c r="E179" s="76" t="s">
        <v>13</v>
      </c>
      <c r="F179" s="63">
        <f>SUM(F180:F182)</f>
        <v>0</v>
      </c>
      <c r="G179" s="92">
        <f>G180+G181+G182</f>
        <v>958.23</v>
      </c>
      <c r="H179" s="77" t="s">
        <v>116</v>
      </c>
    </row>
    <row r="180" spans="2:8" ht="18" customHeight="1" x14ac:dyDescent="0.25">
      <c r="B180" s="163">
        <v>3211</v>
      </c>
      <c r="C180" s="163"/>
      <c r="D180" s="163"/>
      <c r="E180" s="47" t="s">
        <v>44</v>
      </c>
      <c r="F180" s="62"/>
      <c r="G180" s="90">
        <v>651.23</v>
      </c>
      <c r="H180" s="79" t="s">
        <v>116</v>
      </c>
    </row>
    <row r="181" spans="2:8" ht="18" customHeight="1" x14ac:dyDescent="0.25">
      <c r="B181" s="163">
        <v>3221</v>
      </c>
      <c r="C181" s="163"/>
      <c r="D181" s="163"/>
      <c r="E181" s="47" t="s">
        <v>88</v>
      </c>
      <c r="F181" s="62"/>
      <c r="G181" s="90">
        <f>61.97+44.85</f>
        <v>106.82</v>
      </c>
      <c r="H181" s="79" t="s">
        <v>116</v>
      </c>
    </row>
    <row r="182" spans="2:8" ht="18" customHeight="1" x14ac:dyDescent="0.25">
      <c r="B182" s="164">
        <v>3299</v>
      </c>
      <c r="C182" s="165"/>
      <c r="D182" s="166"/>
      <c r="E182" s="47" t="s">
        <v>104</v>
      </c>
      <c r="F182" s="62"/>
      <c r="G182" s="90">
        <f>20.18+180</f>
        <v>200.18</v>
      </c>
      <c r="H182" s="79" t="s">
        <v>116</v>
      </c>
    </row>
    <row r="183" spans="2:8" x14ac:dyDescent="0.25">
      <c r="B183" s="46"/>
      <c r="C183" s="46"/>
      <c r="D183" s="46"/>
      <c r="E183" s="46"/>
      <c r="F183" s="46"/>
      <c r="G183" s="46"/>
      <c r="H183" s="46"/>
    </row>
  </sheetData>
  <mergeCells count="179">
    <mergeCell ref="B38:D38"/>
    <mergeCell ref="B39:D39"/>
    <mergeCell ref="B40:D40"/>
    <mergeCell ref="B162:D162"/>
    <mergeCell ref="B157:D157"/>
    <mergeCell ref="B155:D155"/>
    <mergeCell ref="B144:D144"/>
    <mergeCell ref="B136:D136"/>
    <mergeCell ref="B142:D142"/>
    <mergeCell ref="B154:D154"/>
    <mergeCell ref="B143:D143"/>
    <mergeCell ref="B137:D137"/>
    <mergeCell ref="B138:D138"/>
    <mergeCell ref="B139:D139"/>
    <mergeCell ref="B140:D140"/>
    <mergeCell ref="B141:D141"/>
    <mergeCell ref="B146:D146"/>
    <mergeCell ref="B147:D147"/>
    <mergeCell ref="B148:D148"/>
    <mergeCell ref="B158:D158"/>
    <mergeCell ref="B159:D159"/>
    <mergeCell ref="B161:D161"/>
    <mergeCell ref="B160:D160"/>
    <mergeCell ref="B56:D56"/>
    <mergeCell ref="B114:D114"/>
    <mergeCell ref="B151:D151"/>
    <mergeCell ref="B152:D152"/>
    <mergeCell ref="B153:D153"/>
    <mergeCell ref="B145:D145"/>
    <mergeCell ref="B128:D128"/>
    <mergeCell ref="B129:D129"/>
    <mergeCell ref="B130:D130"/>
    <mergeCell ref="B134:D134"/>
    <mergeCell ref="B135:D135"/>
    <mergeCell ref="B127:D127"/>
    <mergeCell ref="B120:D120"/>
    <mergeCell ref="B122:D122"/>
    <mergeCell ref="B132:D132"/>
    <mergeCell ref="B133:D133"/>
    <mergeCell ref="B124:D124"/>
    <mergeCell ref="B131:D131"/>
    <mergeCell ref="B149:D149"/>
    <mergeCell ref="B150:D150"/>
    <mergeCell ref="B57:D57"/>
    <mergeCell ref="B48:D48"/>
    <mergeCell ref="B49:D49"/>
    <mergeCell ref="B111:D111"/>
    <mergeCell ref="B106:D106"/>
    <mergeCell ref="B107:D107"/>
    <mergeCell ref="B108:D108"/>
    <mergeCell ref="B103:D103"/>
    <mergeCell ref="B105:D105"/>
    <mergeCell ref="B79:D79"/>
    <mergeCell ref="B88:D88"/>
    <mergeCell ref="B89:D89"/>
    <mergeCell ref="B90:D90"/>
    <mergeCell ref="B104:D104"/>
    <mergeCell ref="B80:D80"/>
    <mergeCell ref="B83:D83"/>
    <mergeCell ref="B84:D84"/>
    <mergeCell ref="B85:D85"/>
    <mergeCell ref="B86:D86"/>
    <mergeCell ref="B87:D87"/>
    <mergeCell ref="B95:D95"/>
    <mergeCell ref="B101:D101"/>
    <mergeCell ref="B67:D67"/>
    <mergeCell ref="B75:D75"/>
    <mergeCell ref="B31:D31"/>
    <mergeCell ref="B32:D32"/>
    <mergeCell ref="B19:D19"/>
    <mergeCell ref="B16:D16"/>
    <mergeCell ref="B24:D24"/>
    <mergeCell ref="B21:D21"/>
    <mergeCell ref="B22:D22"/>
    <mergeCell ref="B23:D23"/>
    <mergeCell ref="B17:D17"/>
    <mergeCell ref="B18:D18"/>
    <mergeCell ref="B2:H2"/>
    <mergeCell ref="B4:H4"/>
    <mergeCell ref="B9:E9"/>
    <mergeCell ref="B11:D11"/>
    <mergeCell ref="B14:D14"/>
    <mergeCell ref="B20:D20"/>
    <mergeCell ref="B28:D28"/>
    <mergeCell ref="B29:D29"/>
    <mergeCell ref="B30:D30"/>
    <mergeCell ref="B25:D25"/>
    <mergeCell ref="B26:D26"/>
    <mergeCell ref="B27:D27"/>
    <mergeCell ref="B6:E6"/>
    <mergeCell ref="B7:E7"/>
    <mergeCell ref="B15:D15"/>
    <mergeCell ref="B8:D8"/>
    <mergeCell ref="B12:D12"/>
    <mergeCell ref="B13:D13"/>
    <mergeCell ref="B10:D10"/>
    <mergeCell ref="B72:D72"/>
    <mergeCell ref="B74:D74"/>
    <mergeCell ref="B70:D70"/>
    <mergeCell ref="B77:D77"/>
    <mergeCell ref="B78:D78"/>
    <mergeCell ref="B171:D171"/>
    <mergeCell ref="B170:D170"/>
    <mergeCell ref="B99:D99"/>
    <mergeCell ref="B100:D100"/>
    <mergeCell ref="B97:D97"/>
    <mergeCell ref="B98:D98"/>
    <mergeCell ref="B91:D91"/>
    <mergeCell ref="B92:D92"/>
    <mergeCell ref="B93:D93"/>
    <mergeCell ref="B94:D94"/>
    <mergeCell ref="B81:D81"/>
    <mergeCell ref="B112:D112"/>
    <mergeCell ref="B125:D125"/>
    <mergeCell ref="B126:D126"/>
    <mergeCell ref="B163:D163"/>
    <mergeCell ref="B156:D156"/>
    <mergeCell ref="B96:D96"/>
    <mergeCell ref="B102:D102"/>
    <mergeCell ref="B113:D113"/>
    <mergeCell ref="B60:D60"/>
    <mergeCell ref="B59:D59"/>
    <mergeCell ref="B61:D61"/>
    <mergeCell ref="B62:D62"/>
    <mergeCell ref="B58:D58"/>
    <mergeCell ref="B175:D175"/>
    <mergeCell ref="B71:D71"/>
    <mergeCell ref="B76:D76"/>
    <mergeCell ref="B63:D63"/>
    <mergeCell ref="B64:D64"/>
    <mergeCell ref="B65:D65"/>
    <mergeCell ref="B82:D82"/>
    <mergeCell ref="B118:D118"/>
    <mergeCell ref="B123:D123"/>
    <mergeCell ref="B115:D115"/>
    <mergeCell ref="B116:D116"/>
    <mergeCell ref="B117:D117"/>
    <mergeCell ref="B119:D119"/>
    <mergeCell ref="B121:D121"/>
    <mergeCell ref="B109:D109"/>
    <mergeCell ref="B110:D110"/>
    <mergeCell ref="B66:D66"/>
    <mergeCell ref="B68:D68"/>
    <mergeCell ref="B69:D69"/>
    <mergeCell ref="B33:D33"/>
    <mergeCell ref="B41:D41"/>
    <mergeCell ref="B42:D42"/>
    <mergeCell ref="B178:D178"/>
    <mergeCell ref="B34:D34"/>
    <mergeCell ref="B35:D35"/>
    <mergeCell ref="B36:D36"/>
    <mergeCell ref="B44:D44"/>
    <mergeCell ref="B43:D43"/>
    <mergeCell ref="B45:D45"/>
    <mergeCell ref="B46:D46"/>
    <mergeCell ref="B37:D37"/>
    <mergeCell ref="B47:D47"/>
    <mergeCell ref="B50:D50"/>
    <mergeCell ref="B51:D51"/>
    <mergeCell ref="B52:D52"/>
    <mergeCell ref="B53:D53"/>
    <mergeCell ref="B54:D54"/>
    <mergeCell ref="B55:D55"/>
    <mergeCell ref="B73:D73"/>
    <mergeCell ref="B166:D166"/>
    <mergeCell ref="B167:D167"/>
    <mergeCell ref="B177:D177"/>
    <mergeCell ref="B164:D164"/>
    <mergeCell ref="B179:D179"/>
    <mergeCell ref="B180:D180"/>
    <mergeCell ref="B181:D181"/>
    <mergeCell ref="B182:D182"/>
    <mergeCell ref="B165:D165"/>
    <mergeCell ref="B173:D173"/>
    <mergeCell ref="B176:D176"/>
    <mergeCell ref="B168:D168"/>
    <mergeCell ref="B169:D169"/>
    <mergeCell ref="B172:D172"/>
    <mergeCell ref="B174:D174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 </vt:lpstr>
      <vt:lpstr>Račun prihoda i rashoda - škola</vt:lpstr>
      <vt:lpstr>Račun prihoda i rashoda - dom</vt:lpstr>
      <vt:lpstr>Rashodi prema izvorima fin.-šk</vt:lpstr>
      <vt:lpstr>Rashodi prema izvorima fin.-dom</vt:lpstr>
      <vt:lpstr>Rashodi prema funkcijskoj k </vt:lpstr>
      <vt:lpstr>Račun financiranja</vt:lpstr>
      <vt:lpstr>Račun fin prema izvorima f</vt:lpstr>
      <vt:lpstr>POSEBNI DIO-škola</vt:lpstr>
      <vt:lpstr>POSEBNI DIO-dom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2024-07-15T12:55:48Z</cp:lastPrinted>
  <dcterms:created xsi:type="dcterms:W3CDTF">2022-08-12T12:51:27Z</dcterms:created>
  <dcterms:modified xsi:type="dcterms:W3CDTF">2024-07-17T10:45:50Z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