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Š Bedekovčina\Desktop\"/>
    </mc:Choice>
  </mc:AlternateContent>
  <xr:revisionPtr revIDLastSave="0" documentId="8_{361C9874-5516-4D7E-B40A-35D4AD8DC73C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84" i="1"/>
  <c r="E43" i="1" l="1"/>
  <c r="I43" i="1"/>
  <c r="E65" i="1"/>
  <c r="E53" i="1"/>
  <c r="E51" i="1"/>
  <c r="E86" i="1" l="1"/>
  <c r="E89" i="1"/>
  <c r="E97" i="1"/>
  <c r="E100" i="1"/>
  <c r="E104" i="1"/>
  <c r="E105" i="1"/>
  <c r="E106" i="1"/>
  <c r="E107" i="1"/>
  <c r="E108" i="1"/>
  <c r="E109" i="1"/>
  <c r="E110" i="1"/>
  <c r="Q102" i="1"/>
  <c r="E102" i="1" s="1"/>
  <c r="Q93" i="1"/>
  <c r="E93" i="1" s="1"/>
  <c r="Q91" i="1"/>
  <c r="E91" i="1" s="1"/>
  <c r="Q90" i="1"/>
  <c r="E90" i="1" s="1"/>
  <c r="Q88" i="1"/>
  <c r="E88" i="1" s="1"/>
  <c r="Q84" i="1"/>
  <c r="E84" i="1" s="1"/>
  <c r="Q82" i="1"/>
  <c r="Q79" i="1"/>
  <c r="E79" i="1" s="1"/>
  <c r="Q103" i="1"/>
  <c r="E103" i="1" s="1"/>
  <c r="Q101" i="1"/>
  <c r="E101" i="1" s="1"/>
  <c r="Q99" i="1"/>
  <c r="E99" i="1" s="1"/>
  <c r="Q98" i="1"/>
  <c r="E98" i="1" s="1"/>
  <c r="Q96" i="1"/>
  <c r="E96" i="1" s="1"/>
  <c r="Q95" i="1"/>
  <c r="E95" i="1" s="1"/>
  <c r="Q94" i="1"/>
  <c r="E94" i="1" s="1"/>
  <c r="Q92" i="1"/>
  <c r="E92" i="1" s="1"/>
  <c r="Q78" i="1"/>
  <c r="E78" i="1" s="1"/>
  <c r="Q80" i="1"/>
  <c r="E80" i="1" s="1"/>
  <c r="Q77" i="1"/>
  <c r="Q76" i="1"/>
  <c r="E76" i="1" s="1"/>
  <c r="Q75" i="1"/>
  <c r="P109" i="1"/>
  <c r="R109" i="1" s="1"/>
  <c r="D43" i="1"/>
  <c r="D39" i="1"/>
  <c r="Q31" i="1"/>
  <c r="K85" i="1" l="1"/>
  <c r="E85" i="1" s="1"/>
  <c r="I82" i="1"/>
  <c r="J82" i="1"/>
  <c r="K82" i="1"/>
  <c r="K77" i="1"/>
  <c r="E77" i="1" s="1"/>
  <c r="K75" i="1"/>
  <c r="E75" i="1" s="1"/>
  <c r="J97" i="1"/>
  <c r="J85" i="1"/>
  <c r="J92" i="1"/>
  <c r="J87" i="1"/>
  <c r="J81" i="1"/>
  <c r="G111" i="1"/>
  <c r="G113" i="1" s="1"/>
  <c r="F111" i="1"/>
  <c r="F113" i="1" s="1"/>
  <c r="I87" i="1"/>
  <c r="I83" i="1"/>
  <c r="I81" i="1"/>
  <c r="H82" i="1"/>
  <c r="H81" i="1"/>
  <c r="H87" i="1"/>
  <c r="H84" i="1"/>
  <c r="H83" i="1"/>
  <c r="E82" i="1" l="1"/>
  <c r="Q39" i="1"/>
  <c r="Q37" i="1"/>
  <c r="Q35" i="1"/>
  <c r="H43" i="1"/>
  <c r="J37" i="1"/>
  <c r="H35" i="1"/>
  <c r="F42" i="1"/>
  <c r="F44" i="1" s="1"/>
  <c r="G42" i="1"/>
  <c r="G44" i="1" s="1"/>
  <c r="D15" i="1"/>
  <c r="D22" i="1"/>
  <c r="Q64" i="1"/>
  <c r="Q66" i="1"/>
  <c r="Q67" i="1"/>
  <c r="Q68" i="1"/>
  <c r="Q69" i="1"/>
  <c r="Q70" i="1"/>
  <c r="Q65" i="1"/>
  <c r="E63" i="1"/>
  <c r="D65" i="1"/>
  <c r="D63" i="1"/>
  <c r="Q49" i="1"/>
  <c r="Q50" i="1"/>
  <c r="Q52" i="1"/>
  <c r="Q54" i="1"/>
  <c r="Q55" i="1"/>
  <c r="Q56" i="1"/>
  <c r="Q57" i="1"/>
  <c r="Q58" i="1"/>
  <c r="Q48" i="1"/>
  <c r="D53" i="1"/>
  <c r="Q53" i="1" l="1"/>
  <c r="Q87" i="1"/>
  <c r="E87" i="1" s="1"/>
  <c r="Q63" i="1"/>
  <c r="Q81" i="1"/>
  <c r="E81" i="1" s="1"/>
  <c r="Q51" i="1"/>
  <c r="Q83" i="1"/>
  <c r="E83" i="1" s="1"/>
  <c r="P77" i="1"/>
  <c r="P90" i="1"/>
  <c r="P95" i="1"/>
  <c r="P100" i="1"/>
  <c r="P103" i="1"/>
  <c r="P105" i="1"/>
  <c r="P106" i="1"/>
  <c r="P107" i="1"/>
  <c r="P110" i="1"/>
  <c r="P32" i="1"/>
  <c r="P33" i="1"/>
  <c r="P34" i="1"/>
  <c r="P36" i="1"/>
  <c r="P38" i="1"/>
  <c r="P40" i="1"/>
  <c r="P41" i="1"/>
  <c r="E111" i="1" l="1"/>
  <c r="P64" i="1" l="1"/>
  <c r="P66" i="1"/>
  <c r="P67" i="1"/>
  <c r="P68" i="1"/>
  <c r="P69" i="1"/>
  <c r="P70" i="1"/>
  <c r="P56" i="1"/>
  <c r="P57" i="1"/>
  <c r="P58" i="1"/>
  <c r="I111" i="1" l="1"/>
  <c r="I113" i="1" s="1"/>
  <c r="K111" i="1" l="1"/>
  <c r="K113" i="1" s="1"/>
  <c r="M111" i="1"/>
  <c r="M113" i="1" s="1"/>
  <c r="O111" i="1"/>
  <c r="O113" i="1" s="1"/>
  <c r="E71" i="1"/>
  <c r="E59" i="1"/>
  <c r="B3" i="2"/>
  <c r="E113" i="1" l="1"/>
  <c r="O42" i="1"/>
  <c r="O44" i="1" s="1"/>
  <c r="K42" i="1"/>
  <c r="K44" i="1" s="1"/>
  <c r="L42" i="1"/>
  <c r="L44" i="1" s="1"/>
  <c r="M42" i="1"/>
  <c r="M44" i="1" s="1"/>
  <c r="N42" i="1"/>
  <c r="N44" i="1" s="1"/>
  <c r="E42" i="1"/>
  <c r="E44" i="1" s="1"/>
  <c r="I42" i="1"/>
  <c r="I44" i="1" s="1"/>
  <c r="F16" i="1" l="1"/>
  <c r="F18" i="1"/>
  <c r="F19" i="1"/>
  <c r="F15" i="1"/>
  <c r="E20" i="1"/>
  <c r="D20" i="1"/>
  <c r="E17" i="1"/>
  <c r="D17" i="1"/>
  <c r="E21" i="1" l="1"/>
  <c r="E23" i="1" s="1"/>
  <c r="F20" i="1"/>
  <c r="D21" i="1"/>
  <c r="D23" i="1" s="1"/>
  <c r="F17" i="1"/>
  <c r="P108" i="1"/>
  <c r="P93" i="1"/>
  <c r="P79" i="1"/>
  <c r="H71" i="1"/>
  <c r="J71" i="1"/>
  <c r="L71" i="1"/>
  <c r="N71" i="1"/>
  <c r="H59" i="1"/>
  <c r="J59" i="1"/>
  <c r="L59" i="1"/>
  <c r="N59" i="1"/>
  <c r="N111" i="1"/>
  <c r="L111" i="1"/>
  <c r="R110" i="1"/>
  <c r="R107" i="1"/>
  <c r="P102" i="1"/>
  <c r="P101" i="1"/>
  <c r="P99" i="1"/>
  <c r="P98" i="1"/>
  <c r="P97" i="1"/>
  <c r="P96" i="1"/>
  <c r="P92" i="1"/>
  <c r="P89" i="1"/>
  <c r="P88" i="1"/>
  <c r="P86" i="1"/>
  <c r="P85" i="1"/>
  <c r="P84" i="1"/>
  <c r="P80" i="1"/>
  <c r="P78" i="1"/>
  <c r="P76" i="1"/>
  <c r="P75" i="1"/>
  <c r="P91" i="1" l="1"/>
  <c r="R91" i="1" s="1"/>
  <c r="P94" i="1"/>
  <c r="R94" i="1" s="1"/>
  <c r="P81" i="1"/>
  <c r="R81" i="1" s="1"/>
  <c r="P83" i="1"/>
  <c r="R83" i="1" s="1"/>
  <c r="P82" i="1"/>
  <c r="R82" i="1" s="1"/>
  <c r="P87" i="1"/>
  <c r="R87" i="1" s="1"/>
  <c r="R97" i="1"/>
  <c r="R102" i="1"/>
  <c r="R75" i="1"/>
  <c r="R98" i="1"/>
  <c r="N113" i="1"/>
  <c r="Q71" i="1"/>
  <c r="R93" i="1"/>
  <c r="R101" i="1"/>
  <c r="L113" i="1"/>
  <c r="R76" i="1"/>
  <c r="R99" i="1"/>
  <c r="Q59" i="1"/>
  <c r="R96" i="1"/>
  <c r="R84" i="1"/>
  <c r="R86" i="1"/>
  <c r="R85" i="1"/>
  <c r="H111" i="1"/>
  <c r="H113" i="1" s="1"/>
  <c r="R88" i="1"/>
  <c r="R90" i="1"/>
  <c r="Q111" i="1"/>
  <c r="R95" i="1"/>
  <c r="R89" i="1"/>
  <c r="R77" i="1"/>
  <c r="R92" i="1"/>
  <c r="R79" i="1"/>
  <c r="R78" i="1"/>
  <c r="R80" i="1"/>
  <c r="R108" i="1"/>
  <c r="J111" i="1"/>
  <c r="J113" i="1" s="1"/>
  <c r="D111" i="1"/>
  <c r="Q113" i="1" l="1"/>
  <c r="P111" i="1"/>
  <c r="R111" i="1" s="1"/>
  <c r="P65" i="1" l="1"/>
  <c r="P63" i="1"/>
  <c r="R70" i="1"/>
  <c r="R68" i="1"/>
  <c r="R66" i="1"/>
  <c r="R64" i="1"/>
  <c r="P55" i="1"/>
  <c r="P54" i="1"/>
  <c r="P53" i="1"/>
  <c r="P52" i="1"/>
  <c r="P51" i="1"/>
  <c r="P50" i="1"/>
  <c r="P49" i="1"/>
  <c r="P48" i="1"/>
  <c r="R57" i="1"/>
  <c r="P71" i="1" l="1"/>
  <c r="R71" i="1" s="1"/>
  <c r="R63" i="1"/>
  <c r="R65" i="1"/>
  <c r="R67" i="1"/>
  <c r="R69" i="1"/>
  <c r="D71" i="1"/>
  <c r="D59" i="1"/>
  <c r="R53" i="1"/>
  <c r="R56" i="1"/>
  <c r="R58" i="1"/>
  <c r="R49" i="1"/>
  <c r="R51" i="1"/>
  <c r="R52" i="1"/>
  <c r="R50" i="1"/>
  <c r="R48" i="1"/>
  <c r="R54" i="1"/>
  <c r="R55" i="1"/>
  <c r="P37" i="1"/>
  <c r="P39" i="1"/>
  <c r="P35" i="1"/>
  <c r="H42" i="1" l="1"/>
  <c r="J42" i="1"/>
  <c r="D113" i="1"/>
  <c r="P59" i="1"/>
  <c r="Q42" i="1"/>
  <c r="Q115" i="1" s="1"/>
  <c r="P31" i="1"/>
  <c r="R59" i="1" l="1"/>
  <c r="P113" i="1"/>
  <c r="P43" i="1"/>
  <c r="J44" i="1" l="1"/>
  <c r="H44" i="1"/>
  <c r="D42" i="1" l="1"/>
  <c r="Q44" i="1"/>
  <c r="R37" i="1"/>
  <c r="R41" i="1"/>
  <c r="R39" i="1"/>
  <c r="R36" i="1"/>
  <c r="R35" i="1"/>
  <c r="R34" i="1"/>
  <c r="R32" i="1"/>
  <c r="R31" i="1"/>
  <c r="D44" i="1" l="1"/>
  <c r="P42" i="1"/>
  <c r="Q117" i="1"/>
  <c r="R42" i="1" l="1"/>
  <c r="P44" i="1"/>
</calcChain>
</file>

<file path=xl/sharedStrings.xml><?xml version="1.0" encoding="utf-8"?>
<sst xmlns="http://schemas.openxmlformats.org/spreadsheetml/2006/main" count="160" uniqueCount="117">
  <si>
    <t xml:space="preserve">SREDNJA ŠKOLA BEDEKOVČINA </t>
  </si>
  <si>
    <t>Ljudevita Gaja 1</t>
  </si>
  <si>
    <t>OPĆI PRIHODI I PRIMICI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</si>
  <si>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</si>
  <si>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</si>
  <si>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</si>
  <si>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</si>
  <si>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</si>
  <si>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</si>
  <si>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</si>
  <si>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</si>
  <si>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</si>
  <si>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</si>
  <si>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</si>
  <si>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</si>
  <si>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</si>
  <si>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UKUPNO</t>
  </si>
  <si>
    <t>RASHODI POSLOVANJA</t>
  </si>
  <si>
    <t>Ostali rashodi za zaposlene</t>
  </si>
  <si>
    <t>Preneseni višak iz prethodnih godina</t>
  </si>
  <si>
    <t>Obrazloženje izvještaja o izvršenju financijskog plana</t>
  </si>
  <si>
    <t>-</t>
  </si>
  <si>
    <t>Ravnateljica:</t>
  </si>
  <si>
    <t>Vera Hrvoj, univ.spec.pol.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</si>
  <si>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</si>
  <si>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</si>
  <si>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</si>
  <si>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</si>
  <si>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</si>
  <si>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</si>
  <si>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</si>
  <si>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</si>
  <si>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</si>
  <si>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</si>
  <si>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</si>
  <si>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Zakupnine i najamnine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</si>
  <si>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</si>
  <si>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</si>
  <si>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</si>
  <si>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</si>
  <si>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</si>
  <si>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</si>
  <si>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</si>
  <si>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</si>
  <si>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</si>
  <si>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</si>
  <si>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</si>
  <si>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Pristojbe i naknade</t>
  </si>
  <si>
    <t>Troškovi sudskih postupaka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</si>
  <si>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</si>
  <si>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</si>
  <si>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</si>
  <si>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</si>
  <si>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</si>
  <si>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</si>
  <si>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</si>
  <si>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</si>
  <si>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</si>
  <si>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49221 Bedekovčina</t>
  </si>
  <si>
    <t>Licence</t>
  </si>
  <si>
    <t>KLASA: 400-04/23-01/02</t>
  </si>
  <si>
    <t>DONACIJE</t>
  </si>
  <si>
    <t>Plaće za zaposlene</t>
  </si>
  <si>
    <t>Zdravstveni pregledi</t>
  </si>
  <si>
    <t>Program 1001 Srednješkolsko obrazovanje-zakonski standard</t>
  </si>
  <si>
    <t>RASHODI ZA NABAVU NEF. IMOVINE</t>
  </si>
  <si>
    <t>Program 1002 Učenički dom - zakonski standard</t>
  </si>
  <si>
    <t>UKUPNO RASHODI</t>
  </si>
  <si>
    <t>Program 1003 Dopunski nastavni i vannastavni program škola i obrazovnih institucija</t>
  </si>
  <si>
    <t>Opći dio</t>
  </si>
  <si>
    <t>Posebni dio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</si>
  <si>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</si>
  <si>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</si>
  <si>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</si>
  <si>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</si>
  <si>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</si>
  <si>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INDEKS</t>
  </si>
  <si>
    <t>VIŠAK/MANJAK</t>
  </si>
  <si>
    <t>UKUPNO VIŠAK/MANJAK</t>
  </si>
  <si>
    <t>Značajno odstupanje od planiranih vrijednosti bilježimo na sljedećim stavkama:</t>
  </si>
  <si>
    <t>- prihodi od prodaje proizvoda - povećanje zbog prodaje veće količine proizvoda praktične nastave od planiranih</t>
  </si>
  <si>
    <t>PRIH. POSEBNE NAMJENE</t>
  </si>
  <si>
    <t>UKUPNO IZVRŠENJE</t>
  </si>
  <si>
    <t>Prihodi od prodaje stambenih objekata</t>
  </si>
  <si>
    <t>Izvršenje prihoda i rashoda iskazano je prema izvorima financiranja. Opći prihodi i primici obuhvaćaju prihode iz državnog proračuna, decentralizirana i dopunska sredstva iz proračuna Krapinsko-zagorske županije.</t>
  </si>
  <si>
    <t>POMOĆI</t>
  </si>
  <si>
    <t>IZVJEŠTAJ O IZVRŠENJU FINANCIJSKOG PLANA ZA 1.1-30.6.2023. ZA SREDNJU ŠKOLU BEDEKOVČINA I UČENIČKI DOM</t>
  </si>
  <si>
    <t>Bedekovčina, 10.7.2023.</t>
  </si>
  <si>
    <t>URBROJ: 2140-86-23-2</t>
  </si>
  <si>
    <t>PLAN 2023.</t>
  </si>
  <si>
    <t>PLAN ZA 2023.</t>
  </si>
  <si>
    <t>Višak/manjak prihoda za razdoblje 1.1.- 30.6.2023.</t>
  </si>
  <si>
    <t>Ukupno višak/manjak prihoda na dan 30.6.2023.</t>
  </si>
  <si>
    <t>Ostale tekuće donacije</t>
  </si>
  <si>
    <t>Prihodi od Županije - ukupno decentralizacija i ostalo - 204.811,10</t>
  </si>
  <si>
    <t>- decentralizacija škola - 131.510,99</t>
  </si>
  <si>
    <t xml:space="preserve">- decentralizacija dom - 57.124,35 </t>
  </si>
  <si>
    <t>Ukupno decentralizacija - 188.635,34</t>
  </si>
  <si>
    <t>- projekt Baltazar - 11.562,31</t>
  </si>
  <si>
    <t>- školska shema - 2.310,19</t>
  </si>
  <si>
    <t>- natjecanja - 898,23</t>
  </si>
  <si>
    <t>- e-tehničar - 1.018,88</t>
  </si>
  <si>
    <t>- ostali prihodi - 386,15 (za program Kreiraj svoju budućnost i za fakultativni predmet Škola i zajednica)</t>
  </si>
  <si>
    <t>Ukupno ostali prihodi od Županije - 16.175,76</t>
  </si>
  <si>
    <t>- prihodi od pruženih usluga - povećanje zbog naplate potraživanja za uslugu izrade standarda strukovnog dijela kvalifikacije na projektu "Modernizacija sustava strukovnog obrazovanja i osposobljavanja"</t>
  </si>
  <si>
    <t>Dodatna ulaganja na građ. objektima</t>
  </si>
  <si>
    <t>- prihodi od nefinancijske imovine - smanjenje zbog bolje naplate potraživanja za zakup zemljišta u prethodnoj godini</t>
  </si>
  <si>
    <t>- iznos na kontu tekućih donacija odnosi se na kupnju menstrualnih higijenskih potrepština što nije bilo planirano</t>
  </si>
  <si>
    <t>Pomoći se odnose na prihode od općina koje sufinanciraju pomoćnike u nastavi za učenike s teškoćama. U prihode posebne namjene ulaze prihodi od sufinanciranja troškova smještaja učenika u učeničkom domu,</t>
  </si>
  <si>
    <t>škole) i prihode od zakupa zemljišta. Prihodi od nefinancijske imovine su prihodi od stanova.</t>
  </si>
  <si>
    <t>participacije školarina i prihodi od izrade duplikata svjedodžbi. Vlastiti prihodi odnose se na prihode od pružanja usluga (obrazovanje odraslih, laboratorij za ispitivanje materijala, pedološki labratorij, najam prostora</t>
  </si>
  <si>
    <t xml:space="preserve">višak prihoda raspoloživ u sljedećem razdoblju iznosi 185.972,40. </t>
  </si>
  <si>
    <t xml:space="preserve">Za razdoblje od 1.1. do 30.6.2023. evidentirani su prihodi u iznosu od 1.683.519,57 i rashodi u iznosu od 1.758.263,43. Kada dobivenom manjku od 74.743,86 dodamo preneseni višak iz prethodnih godina, ukupan  </t>
  </si>
  <si>
    <t xml:space="preserve">  iznosima od planiranih</t>
  </si>
  <si>
    <t xml:space="preserve">- povećanje u odnosu na planirane vrijednosti na stavkama službenih putovanja, naknada troškova osobama izvan radnog odnosa, prijevozu i reprezentaciji zbog realizacije po projektima ERASMUS+ u većim </t>
  </si>
  <si>
    <t xml:space="preserve">  učeničkom domu</t>
  </si>
  <si>
    <t xml:space="preserve">- povećanje u odnosu na planirane vrijednosti na stavkama računalnih usluga i ulaganja u računalne programe zbog uvođenja novih programa za uredsko poslovanje (e-urudžbeni) i materijalno poslovanje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</si>
</sst>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9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6" fillId="2" borderId="1" xfId="4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5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4" fontId="0" fillId="0" borderId="0" xfId="0" applyNumberFormat="1" applyAlignment="1"/>
    <xf numFmtId="0" fontId="5" fillId="2" borderId="1" xfId="3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 applyAlignment="1"/>
    <xf numFmtId="0" fontId="10" fillId="0" borderId="0" xfId="0" applyFont="1" applyAlignment="1">
      <alignment horizontal="center"/>
    </xf>
    <xf numFmtId="0" fontId="0" fillId="0" borderId="0" xfId="0" applyFont="1"/>
    <xf numFmtId="0" fontId="11" fillId="2" borderId="1" xfId="4" applyFont="1" applyFill="1" applyBorder="1" applyAlignment="1">
      <alignment horizontal="left" wrapText="1"/>
    </xf>
    <xf numFmtId="0" fontId="2" fillId="0" borderId="2" xfId="0" applyFont="1" applyBorder="1" applyAlignment="1"/>
    <xf numFmtId="4" fontId="5" fillId="0" borderId="2" xfId="0" applyNumberFormat="1" applyFont="1" applyBorder="1" applyAlignment="1">
      <alignment horizontal="right"/>
    </xf>
    <xf numFmtId="0" fontId="2" fillId="0" borderId="10" xfId="0" applyFont="1" applyBorder="1" applyAlignment="1"/>
    <xf numFmtId="4" fontId="2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2" borderId="10" xfId="0" applyFont="1" applyFill="1" applyBorder="1" applyAlignment="1"/>
    <xf numFmtId="0" fontId="2" fillId="0" borderId="13" xfId="0" applyFont="1" applyBorder="1" applyAlignment="1"/>
    <xf numFmtId="4" fontId="2" fillId="0" borderId="11" xfId="0" applyNumberFormat="1" applyFont="1" applyBorder="1" applyAlignment="1">
      <alignment horizontal="center"/>
    </xf>
    <xf numFmtId="0" fontId="2" fillId="0" borderId="10" xfId="0" applyFont="1" applyBorder="1"/>
    <xf numFmtId="0" fontId="5" fillId="0" borderId="10" xfId="0" applyFont="1" applyBorder="1"/>
    <xf numFmtId="0" fontId="5" fillId="2" borderId="10" xfId="0" applyFont="1" applyFill="1" applyBorder="1"/>
    <xf numFmtId="0" fontId="2" fillId="2" borderId="10" xfId="0" applyFont="1" applyFill="1" applyBorder="1"/>
    <xf numFmtId="0" fontId="5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0" borderId="16" xfId="0" applyNumberFormat="1" applyFont="1" applyBorder="1" applyAlignment="1">
      <alignment horizontal="center"/>
    </xf>
    <xf numFmtId="4" fontId="5" fillId="0" borderId="17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0" fontId="3" fillId="0" borderId="14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5" xfId="0" applyNumberFormat="1" applyFont="1" applyBorder="1" applyAlignment="1">
      <alignment horizontal="right"/>
    </xf>
    <xf numFmtId="0" fontId="5" fillId="2" borderId="14" xfId="0" applyFont="1" applyFill="1" applyBorder="1" applyAlignment="1"/>
    <xf numFmtId="0" fontId="11" fillId="2" borderId="15" xfId="4" applyFont="1" applyFill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5" fillId="2" borderId="25" xfId="0" applyFont="1" applyFill="1" applyBorder="1"/>
    <xf numFmtId="0" fontId="2" fillId="2" borderId="26" xfId="0" applyFont="1" applyFill="1" applyBorder="1"/>
    <xf numFmtId="4" fontId="2" fillId="2" borderId="26" xfId="0" applyNumberFormat="1" applyFont="1" applyFill="1" applyBorder="1"/>
    <xf numFmtId="4" fontId="2" fillId="0" borderId="27" xfId="0" applyNumberFormat="1" applyFont="1" applyBorder="1" applyAlignment="1">
      <alignment horizontal="center"/>
    </xf>
    <xf numFmtId="0" fontId="5" fillId="2" borderId="28" xfId="0" applyFont="1" applyFill="1" applyBorder="1"/>
    <xf numFmtId="0" fontId="2" fillId="2" borderId="29" xfId="0" applyFont="1" applyFill="1" applyBorder="1"/>
    <xf numFmtId="4" fontId="2" fillId="2" borderId="29" xfId="0" applyNumberFormat="1" applyFont="1" applyFill="1" applyBorder="1"/>
    <xf numFmtId="4" fontId="2" fillId="0" borderId="30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4" fontId="5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" fontId="5" fillId="0" borderId="11" xfId="0" applyNumberFormat="1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4" fontId="5" fillId="0" borderId="26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center"/>
    </xf>
    <xf numFmtId="49" fontId="14" fillId="0" borderId="0" xfId="0" applyNumberFormat="1" applyFont="1"/>
    <xf numFmtId="4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15" fillId="0" borderId="0" xfId="0" applyNumberFormat="1" applyFont="1"/>
    <xf numFmtId="1" fontId="2" fillId="0" borderId="13" xfId="0" applyNumberFormat="1" applyFont="1" applyBorder="1" applyAlignment="1"/>
    <xf numFmtId="1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4" fontId="2" fillId="3" borderId="15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7" fillId="4" borderId="1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/>
    <xf numFmtId="4" fontId="2" fillId="4" borderId="15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4" fontId="2" fillId="4" borderId="15" xfId="0" applyNumberFormat="1" applyFont="1" applyFill="1" applyBorder="1"/>
    <xf numFmtId="4" fontId="2" fillId="4" borderId="26" xfId="0" applyNumberFormat="1" applyFont="1" applyFill="1" applyBorder="1"/>
    <xf numFmtId="4" fontId="2" fillId="4" borderId="29" xfId="0" applyNumberFormat="1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5" fillId="4" borderId="26" xfId="0" applyNumberFormat="1" applyFont="1" applyFill="1" applyBorder="1" applyAlignment="1">
      <alignment horizontal="center"/>
    </xf>
    <xf numFmtId="4" fontId="2" fillId="4" borderId="29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8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 wrapText="1"/>
    </xf>
    <xf numFmtId="3" fontId="2" fillId="3" borderId="3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2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Normalno" xfId="0" builtinId="0"/>
    <cellStyle name="Obično_List4" xfId="3" xr:uid="{00000000-0005-0000-0000-000001000000}"/>
    <cellStyle name="Obično_List5" xfId="4" xr:uid="{00000000-0005-0000-0000-000002000000}"/>
    <cellStyle name="Obično_List7" xfId="1" xr:uid="{00000000-0005-0000-0000-000003000000}"/>
    <cellStyle name="Obično_List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62"/>
  <sheetViews>
    <sheetView tabSelected="1" workbookViewId="0">
      <selection activeCell="A150" sqref="A150"/>
    </sheetView>
  </sheetViews>
  <sheetFormatPr defaultRowHeight="14.4" x14ac:dyDescent="0.3"/>
  <cols>
    <col min="1" max="1" width="0.5546875" customWidth="1"/>
    <col min="2" max="2" width="4.6640625" customWidth="1"/>
    <col min="3" max="3" width="30.44140625" customWidth="1"/>
    <col min="4" max="4" width="12.5546875" customWidth="1"/>
    <col min="5" max="7" width="12.109375" customWidth="1"/>
    <col min="8" max="9" width="12.44140625" customWidth="1"/>
    <col min="10" max="10" width="13" customWidth="1"/>
    <col min="11" max="11" width="12.109375" customWidth="1"/>
    <col min="12" max="12" width="11.6640625" customWidth="1"/>
    <col min="13" max="13" width="10.44140625" customWidth="1"/>
    <col min="14" max="16" width="11.5546875" customWidth="1"/>
    <col min="17" max="17" width="12.33203125" customWidth="1"/>
    <col min="18" max="18" width="8.109375" customWidth="1"/>
    <col min="20" max="20" width="11.6640625" bestFit="1" customWidth="1"/>
  </cols>
  <sheetData>
    <row r="1" spans="2:18" ht="4.5" customHeight="1" x14ac:dyDescent="0.3"/>
    <row r="2" spans="2:18" s="150" customFormat="1" ht="15.6" x14ac:dyDescent="0.3">
      <c r="B2" s="76" t="s">
        <v>0</v>
      </c>
      <c r="C2" s="152"/>
    </row>
    <row r="3" spans="2:18" s="150" customFormat="1" ht="15.6" x14ac:dyDescent="0.3">
      <c r="B3" s="76" t="s">
        <v>1</v>
      </c>
      <c r="C3" s="152"/>
    </row>
    <row r="4" spans="2:18" s="150" customFormat="1" ht="15.6" x14ac:dyDescent="0.3">
      <c r="B4" s="76" t="s">
        <v>58</v>
      </c>
      <c r="C4" s="152"/>
    </row>
    <row r="5" spans="2:18" s="150" customFormat="1" ht="15.6" x14ac:dyDescent="0.3">
      <c r="B5" s="76" t="s">
        <v>60</v>
      </c>
      <c r="C5" s="152"/>
    </row>
    <row r="6" spans="2:18" s="150" customFormat="1" ht="15.6" x14ac:dyDescent="0.3">
      <c r="B6" s="76" t="s">
        <v>88</v>
      </c>
      <c r="C6" s="152"/>
    </row>
    <row r="7" spans="2:18" s="150" customFormat="1" ht="15.6" x14ac:dyDescent="0.3">
      <c r="B7" s="76" t="s">
        <v>87</v>
      </c>
      <c r="C7" s="152"/>
    </row>
    <row r="8" spans="2:18" s="150" customFormat="1" ht="15" x14ac:dyDescent="0.25">
      <c r="B8" s="147"/>
    </row>
    <row r="9" spans="2:18" s="150" customFormat="1" ht="15" customHeight="1" x14ac:dyDescent="0.3">
      <c r="B9" s="160" t="s">
        <v>86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</row>
    <row r="10" spans="2:18" s="40" customFormat="1" ht="15" customHeight="1" x14ac:dyDescent="0.3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2:18" s="40" customFormat="1" ht="15" customHeight="1" x14ac:dyDescent="0.3">
      <c r="B11" s="39"/>
      <c r="C11" s="39"/>
      <c r="D11" s="39"/>
      <c r="E11" s="94"/>
      <c r="F11" s="94"/>
      <c r="G11" s="94"/>
      <c r="H11" s="39"/>
      <c r="I11" s="94"/>
      <c r="J11" s="39"/>
      <c r="K11" s="94"/>
      <c r="L11" s="39"/>
      <c r="M11" s="94"/>
      <c r="N11" s="39"/>
      <c r="O11" s="94"/>
      <c r="P11" s="39"/>
      <c r="Q11" s="39"/>
      <c r="R11" s="39"/>
    </row>
    <row r="12" spans="2:18" s="150" customFormat="1" ht="15" customHeight="1" x14ac:dyDescent="0.3">
      <c r="B12" s="153" t="s">
        <v>69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</row>
    <row r="13" spans="2:18" ht="15" customHeight="1" thickBot="1" x14ac:dyDescent="0.35">
      <c r="B13" s="77"/>
      <c r="C13" s="29"/>
      <c r="D13" s="29"/>
      <c r="E13" s="95"/>
      <c r="F13" s="95"/>
      <c r="G13" s="95"/>
      <c r="H13" s="29"/>
      <c r="I13" s="95"/>
      <c r="J13" s="29"/>
      <c r="K13" s="95"/>
      <c r="L13" s="29"/>
      <c r="M13" s="95"/>
      <c r="N13" s="29"/>
      <c r="O13" s="95"/>
      <c r="P13" s="29"/>
    </row>
    <row r="14" spans="2:18" ht="15" customHeight="1" thickBot="1" x14ac:dyDescent="0.35">
      <c r="B14" s="77"/>
      <c r="C14" s="108"/>
      <c r="D14" s="109" t="s">
        <v>89</v>
      </c>
      <c r="E14" s="109" t="s">
        <v>6</v>
      </c>
      <c r="F14" s="110" t="s">
        <v>76</v>
      </c>
      <c r="G14" s="19"/>
      <c r="H14" s="29"/>
      <c r="I14" s="95"/>
      <c r="J14" s="29"/>
      <c r="K14" s="95"/>
      <c r="L14" s="29"/>
    </row>
    <row r="15" spans="2:18" ht="15" customHeight="1" x14ac:dyDescent="0.3">
      <c r="B15" s="77"/>
      <c r="C15" s="85" t="s">
        <v>71</v>
      </c>
      <c r="D15" s="80">
        <f>3323427+18625</f>
        <v>3342052</v>
      </c>
      <c r="E15" s="130">
        <v>1683277.98</v>
      </c>
      <c r="F15" s="86">
        <f t="shared" ref="F15:F20" si="0">E15/D15*100</f>
        <v>50.366600519680723</v>
      </c>
      <c r="G15" s="96"/>
      <c r="H15" s="29"/>
      <c r="I15" s="95"/>
      <c r="J15" s="29"/>
      <c r="K15" s="95"/>
      <c r="L15" s="29"/>
    </row>
    <row r="16" spans="2:18" ht="15" customHeight="1" x14ac:dyDescent="0.3">
      <c r="B16" s="77"/>
      <c r="C16" s="81" t="s">
        <v>72</v>
      </c>
      <c r="D16" s="30">
        <v>260</v>
      </c>
      <c r="E16" s="131">
        <v>241.59</v>
      </c>
      <c r="F16" s="86">
        <f t="shared" si="0"/>
        <v>92.919230769230765</v>
      </c>
      <c r="G16" s="96"/>
      <c r="H16" s="29"/>
      <c r="I16" s="95"/>
      <c r="J16" s="29"/>
      <c r="K16" s="95"/>
      <c r="L16" s="29"/>
    </row>
    <row r="17" spans="2:18" ht="15" customHeight="1" x14ac:dyDescent="0.3">
      <c r="B17" s="77"/>
      <c r="C17" s="82" t="s">
        <v>73</v>
      </c>
      <c r="D17" s="3">
        <f>SUM(D15+D16)</f>
        <v>3342312</v>
      </c>
      <c r="E17" s="112">
        <f>SUM(E15+E16)</f>
        <v>1683519.57</v>
      </c>
      <c r="F17" s="86">
        <f t="shared" si="0"/>
        <v>50.36991070851554</v>
      </c>
      <c r="G17" s="96"/>
      <c r="H17" s="29"/>
      <c r="I17" s="95"/>
      <c r="J17" s="29"/>
      <c r="K17" s="95"/>
      <c r="L17" s="29"/>
    </row>
    <row r="18" spans="2:18" ht="15" customHeight="1" x14ac:dyDescent="0.3">
      <c r="B18" s="77"/>
      <c r="C18" s="81" t="s">
        <v>74</v>
      </c>
      <c r="D18" s="30">
        <v>3348673</v>
      </c>
      <c r="E18" s="131">
        <v>1712903.14</v>
      </c>
      <c r="F18" s="86">
        <f t="shared" si="0"/>
        <v>51.151699195472354</v>
      </c>
      <c r="G18" s="96"/>
      <c r="H18" s="29"/>
      <c r="I18" s="95"/>
      <c r="J18" s="29"/>
      <c r="K18" s="95"/>
      <c r="L18" s="29"/>
    </row>
    <row r="19" spans="2:18" ht="15" customHeight="1" x14ac:dyDescent="0.3">
      <c r="B19" s="77"/>
      <c r="C19" s="81" t="s">
        <v>75</v>
      </c>
      <c r="D19" s="30">
        <v>118826</v>
      </c>
      <c r="E19" s="131">
        <v>45360.29</v>
      </c>
      <c r="F19" s="86">
        <f t="shared" si="0"/>
        <v>38.17370777439281</v>
      </c>
      <c r="G19" s="96"/>
      <c r="H19" s="29"/>
      <c r="I19" s="95"/>
      <c r="J19" s="29"/>
      <c r="K19" s="95"/>
      <c r="L19" s="29"/>
    </row>
    <row r="20" spans="2:18" ht="15" customHeight="1" x14ac:dyDescent="0.3">
      <c r="B20" s="28"/>
      <c r="C20" s="82" t="s">
        <v>67</v>
      </c>
      <c r="D20" s="3">
        <f>SUM(D18+D19)</f>
        <v>3467499</v>
      </c>
      <c r="E20" s="112">
        <f>SUM(E18+E19)</f>
        <v>1758263.43</v>
      </c>
      <c r="F20" s="86">
        <f t="shared" si="0"/>
        <v>50.706962857090943</v>
      </c>
      <c r="G20" s="96"/>
      <c r="H20" s="28"/>
      <c r="I20" s="95"/>
      <c r="J20" s="28"/>
      <c r="K20" s="95"/>
      <c r="L20" s="28"/>
    </row>
    <row r="21" spans="2:18" ht="15" customHeight="1" thickBot="1" x14ac:dyDescent="0.35">
      <c r="B21" s="29"/>
      <c r="C21" s="83" t="s">
        <v>77</v>
      </c>
      <c r="D21" s="84">
        <f>SUM(D17-D20)</f>
        <v>-125187</v>
      </c>
      <c r="E21" s="132">
        <f>SUM(E17-E20)</f>
        <v>-74743.85999999987</v>
      </c>
      <c r="F21" s="58"/>
      <c r="G21" s="93"/>
      <c r="H21" s="29"/>
      <c r="I21" s="95"/>
      <c r="J21" s="29"/>
      <c r="K21" s="95"/>
      <c r="L21" s="29"/>
    </row>
    <row r="22" spans="2:18" ht="15" customHeight="1" thickBot="1" x14ac:dyDescent="0.35">
      <c r="B22" s="29"/>
      <c r="C22" s="87" t="s">
        <v>19</v>
      </c>
      <c r="D22" s="88">
        <f>39820+67091+18276</f>
        <v>125187</v>
      </c>
      <c r="E22" s="133">
        <v>260716.26</v>
      </c>
      <c r="F22" s="89"/>
      <c r="G22" s="96"/>
      <c r="H22" s="29"/>
      <c r="I22" s="95"/>
      <c r="J22" s="29"/>
      <c r="K22" s="95"/>
      <c r="L22" s="29"/>
    </row>
    <row r="23" spans="2:18" ht="15" customHeight="1" thickBot="1" x14ac:dyDescent="0.35">
      <c r="B23" s="29"/>
      <c r="C23" s="90" t="s">
        <v>78</v>
      </c>
      <c r="D23" s="91">
        <f>D21+D22</f>
        <v>0</v>
      </c>
      <c r="E23" s="134">
        <f>E21+E22</f>
        <v>185972.40000000014</v>
      </c>
      <c r="F23" s="75"/>
      <c r="G23" s="93"/>
      <c r="H23" s="29"/>
      <c r="I23" s="95"/>
      <c r="J23" s="29"/>
      <c r="K23" s="95"/>
      <c r="L23" s="29"/>
    </row>
    <row r="24" spans="2:18" ht="15" customHeight="1" x14ac:dyDescent="0.3">
      <c r="B24" s="28"/>
      <c r="C24" s="28"/>
      <c r="D24" s="28"/>
      <c r="E24" s="95"/>
      <c r="F24" s="95"/>
      <c r="G24" s="95"/>
      <c r="H24" s="28"/>
      <c r="I24" s="95"/>
      <c r="J24" s="28"/>
      <c r="K24" s="95"/>
      <c r="L24" s="28"/>
      <c r="M24" s="95"/>
      <c r="N24" s="28"/>
      <c r="O24" s="95"/>
      <c r="P24" s="28"/>
    </row>
    <row r="25" spans="2:18" s="150" customFormat="1" ht="15" customHeight="1" x14ac:dyDescent="0.3">
      <c r="B25" s="153" t="s">
        <v>70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6" spans="2:18" ht="15" customHeight="1" thickBot="1" x14ac:dyDescent="0.35">
      <c r="B26" s="28"/>
      <c r="C26" s="28"/>
      <c r="D26" s="28"/>
      <c r="E26" s="95"/>
      <c r="F26" s="95"/>
      <c r="G26" s="95"/>
      <c r="H26" s="28"/>
      <c r="I26" s="95"/>
      <c r="J26" s="28"/>
      <c r="K26" s="95"/>
      <c r="L26" s="28"/>
      <c r="M26" s="95"/>
      <c r="N26" s="28"/>
      <c r="O26" s="95"/>
      <c r="P26" s="28"/>
    </row>
    <row r="27" spans="2:18" ht="15" customHeight="1" x14ac:dyDescent="0.3">
      <c r="B27" s="102"/>
      <c r="C27" s="103"/>
      <c r="D27" s="188" t="s">
        <v>2</v>
      </c>
      <c r="E27" s="188"/>
      <c r="F27" s="155" t="s">
        <v>85</v>
      </c>
      <c r="G27" s="156"/>
      <c r="H27" s="155" t="s">
        <v>81</v>
      </c>
      <c r="I27" s="156"/>
      <c r="J27" s="155" t="s">
        <v>3</v>
      </c>
      <c r="K27" s="156"/>
      <c r="L27" s="155" t="s">
        <v>61</v>
      </c>
      <c r="M27" s="156"/>
      <c r="N27" s="155" t="s">
        <v>4</v>
      </c>
      <c r="O27" s="156"/>
      <c r="P27" s="157" t="s">
        <v>5</v>
      </c>
      <c r="Q27" s="170" t="s">
        <v>82</v>
      </c>
      <c r="R27" s="172" t="s">
        <v>7</v>
      </c>
    </row>
    <row r="28" spans="2:18" s="32" customFormat="1" ht="15" customHeight="1" thickBot="1" x14ac:dyDescent="0.35">
      <c r="B28" s="104"/>
      <c r="C28" s="105"/>
      <c r="D28" s="106" t="s">
        <v>90</v>
      </c>
      <c r="E28" s="106" t="s">
        <v>6</v>
      </c>
      <c r="F28" s="106" t="s">
        <v>90</v>
      </c>
      <c r="G28" s="106" t="s">
        <v>6</v>
      </c>
      <c r="H28" s="106" t="s">
        <v>90</v>
      </c>
      <c r="I28" s="106" t="s">
        <v>6</v>
      </c>
      <c r="J28" s="106" t="s">
        <v>90</v>
      </c>
      <c r="K28" s="106" t="s">
        <v>6</v>
      </c>
      <c r="L28" s="106" t="s">
        <v>90</v>
      </c>
      <c r="M28" s="106" t="s">
        <v>6</v>
      </c>
      <c r="N28" s="107" t="s">
        <v>90</v>
      </c>
      <c r="O28" s="107" t="s">
        <v>6</v>
      </c>
      <c r="P28" s="158"/>
      <c r="Q28" s="171"/>
      <c r="R28" s="173"/>
    </row>
    <row r="29" spans="2:18" s="32" customFormat="1" ht="15" customHeight="1" x14ac:dyDescent="0.3">
      <c r="B29" s="98">
        <v>1</v>
      </c>
      <c r="C29" s="99">
        <v>2</v>
      </c>
      <c r="D29" s="100">
        <v>3</v>
      </c>
      <c r="E29" s="111"/>
      <c r="F29" s="135"/>
      <c r="G29" s="111"/>
      <c r="H29" s="100">
        <v>4</v>
      </c>
      <c r="I29" s="111"/>
      <c r="J29" s="100">
        <v>5</v>
      </c>
      <c r="K29" s="111"/>
      <c r="L29" s="100"/>
      <c r="M29" s="111"/>
      <c r="N29" s="100">
        <v>6</v>
      </c>
      <c r="O29" s="111"/>
      <c r="P29" s="100">
        <v>7</v>
      </c>
      <c r="Q29" s="111">
        <v>8</v>
      </c>
      <c r="R29" s="101">
        <v>9</v>
      </c>
    </row>
    <row r="30" spans="2:18" s="32" customFormat="1" ht="15" customHeight="1" x14ac:dyDescent="0.3">
      <c r="B30" s="44">
        <v>6</v>
      </c>
      <c r="C30" s="31" t="s">
        <v>8</v>
      </c>
      <c r="D30" s="3"/>
      <c r="E30" s="112"/>
      <c r="F30" s="136"/>
      <c r="G30" s="112"/>
      <c r="H30" s="3"/>
      <c r="I30" s="112"/>
      <c r="J30" s="3"/>
      <c r="K30" s="112"/>
      <c r="L30" s="3"/>
      <c r="M30" s="112"/>
      <c r="N30" s="4"/>
      <c r="O30" s="118"/>
      <c r="P30" s="4"/>
      <c r="Q30" s="119"/>
      <c r="R30" s="45"/>
    </row>
    <row r="31" spans="2:18" s="32" customFormat="1" ht="15" customHeight="1" x14ac:dyDescent="0.3">
      <c r="B31" s="46">
        <v>6361</v>
      </c>
      <c r="C31" s="33" t="s">
        <v>9</v>
      </c>
      <c r="D31" s="6">
        <v>2675500</v>
      </c>
      <c r="E31" s="113">
        <v>1285533.18</v>
      </c>
      <c r="F31" s="11">
        <v>13010</v>
      </c>
      <c r="G31" s="113">
        <v>9981.06</v>
      </c>
      <c r="H31" s="26"/>
      <c r="I31" s="114"/>
      <c r="J31" s="26"/>
      <c r="K31" s="114"/>
      <c r="L31" s="26"/>
      <c r="M31" s="114"/>
      <c r="N31" s="26"/>
      <c r="O31" s="114"/>
      <c r="P31" s="6">
        <f>SUM(D31+F31+H31+J31+L31+N31)</f>
        <v>2688510</v>
      </c>
      <c r="Q31" s="120">
        <f>1285533.18+9981.06</f>
        <v>1295514.24</v>
      </c>
      <c r="R31" s="45">
        <f>Q31/P31*100</f>
        <v>48.187071649352241</v>
      </c>
    </row>
    <row r="32" spans="2:18" s="32" customFormat="1" ht="15" customHeight="1" x14ac:dyDescent="0.3">
      <c r="B32" s="46">
        <v>6381</v>
      </c>
      <c r="C32" s="33" t="s">
        <v>10</v>
      </c>
      <c r="D32" s="6">
        <v>140540</v>
      </c>
      <c r="E32" s="113">
        <v>54733.18</v>
      </c>
      <c r="F32" s="11"/>
      <c r="G32" s="113"/>
      <c r="H32" s="26"/>
      <c r="I32" s="114"/>
      <c r="J32" s="26"/>
      <c r="K32" s="114"/>
      <c r="L32" s="26"/>
      <c r="M32" s="114"/>
      <c r="N32" s="26"/>
      <c r="O32" s="114"/>
      <c r="P32" s="6">
        <f t="shared" ref="P32:P43" si="1">SUM(D32+F32+H32+J32+L32+N32)</f>
        <v>140540</v>
      </c>
      <c r="Q32" s="120">
        <v>54733.18</v>
      </c>
      <c r="R32" s="45">
        <f>Q32/P32*100</f>
        <v>38.94491248043262</v>
      </c>
    </row>
    <row r="33" spans="2:20" s="32" customFormat="1" ht="15" customHeight="1" x14ac:dyDescent="0.3">
      <c r="B33" s="46">
        <v>6413</v>
      </c>
      <c r="C33" s="33" t="s">
        <v>27</v>
      </c>
      <c r="D33" s="26"/>
      <c r="E33" s="114"/>
      <c r="F33" s="137"/>
      <c r="G33" s="114"/>
      <c r="H33" s="26"/>
      <c r="I33" s="114"/>
      <c r="J33" s="26"/>
      <c r="K33" s="113">
        <v>0.06</v>
      </c>
      <c r="L33" s="26"/>
      <c r="M33" s="114"/>
      <c r="N33" s="26"/>
      <c r="O33" s="114"/>
      <c r="P33" s="6">
        <f t="shared" si="1"/>
        <v>0</v>
      </c>
      <c r="Q33" s="120">
        <v>0.06</v>
      </c>
      <c r="R33" s="45" t="s">
        <v>21</v>
      </c>
    </row>
    <row r="34" spans="2:20" s="32" customFormat="1" ht="15" customHeight="1" x14ac:dyDescent="0.3">
      <c r="B34" s="46">
        <v>6422</v>
      </c>
      <c r="C34" s="33" t="s">
        <v>11</v>
      </c>
      <c r="D34" s="26"/>
      <c r="E34" s="114"/>
      <c r="F34" s="137"/>
      <c r="G34" s="114"/>
      <c r="H34" s="26"/>
      <c r="I34" s="114"/>
      <c r="J34" s="6">
        <v>10620</v>
      </c>
      <c r="K34" s="113">
        <v>1412.31</v>
      </c>
      <c r="L34" s="6"/>
      <c r="M34" s="113"/>
      <c r="N34" s="26"/>
      <c r="O34" s="114"/>
      <c r="P34" s="6">
        <f t="shared" si="1"/>
        <v>10620</v>
      </c>
      <c r="Q34" s="120">
        <v>1412.31</v>
      </c>
      <c r="R34" s="45">
        <f t="shared" ref="R34:R39" si="2">Q34/P34*100</f>
        <v>13.298587570621468</v>
      </c>
    </row>
    <row r="35" spans="2:20" s="32" customFormat="1" ht="15" customHeight="1" x14ac:dyDescent="0.3">
      <c r="B35" s="46">
        <v>6526</v>
      </c>
      <c r="C35" s="33" t="s">
        <v>12</v>
      </c>
      <c r="D35" s="26"/>
      <c r="E35" s="114"/>
      <c r="F35" s="137"/>
      <c r="G35" s="114"/>
      <c r="H35" s="6">
        <f>3980+96890</f>
        <v>100870</v>
      </c>
      <c r="I35" s="113">
        <v>56696.06</v>
      </c>
      <c r="J35" s="26"/>
      <c r="K35" s="114"/>
      <c r="L35" s="26"/>
      <c r="M35" s="114"/>
      <c r="N35" s="26"/>
      <c r="O35" s="114"/>
      <c r="P35" s="6">
        <f t="shared" si="1"/>
        <v>100870</v>
      </c>
      <c r="Q35" s="120">
        <f>56321.97+302.61+38.22+33.26</f>
        <v>56696.060000000005</v>
      </c>
      <c r="R35" s="45">
        <f t="shared" si="2"/>
        <v>56.207058590264701</v>
      </c>
    </row>
    <row r="36" spans="2:20" s="32" customFormat="1" ht="15" customHeight="1" x14ac:dyDescent="0.3">
      <c r="B36" s="47">
        <v>6614</v>
      </c>
      <c r="C36" s="33" t="s">
        <v>25</v>
      </c>
      <c r="D36" s="26"/>
      <c r="E36" s="114"/>
      <c r="F36" s="137"/>
      <c r="G36" s="114"/>
      <c r="H36" s="26"/>
      <c r="I36" s="114"/>
      <c r="J36" s="6">
        <v>1330</v>
      </c>
      <c r="K36" s="113">
        <v>2685.14</v>
      </c>
      <c r="L36" s="6"/>
      <c r="M36" s="113"/>
      <c r="N36" s="26"/>
      <c r="O36" s="114"/>
      <c r="P36" s="6">
        <f t="shared" si="1"/>
        <v>1330</v>
      </c>
      <c r="Q36" s="120">
        <v>2685.14</v>
      </c>
      <c r="R36" s="45">
        <f t="shared" si="2"/>
        <v>201.89022556390975</v>
      </c>
    </row>
    <row r="37" spans="2:20" s="32" customFormat="1" ht="15" customHeight="1" x14ac:dyDescent="0.3">
      <c r="B37" s="47">
        <v>6615</v>
      </c>
      <c r="C37" s="33" t="s">
        <v>26</v>
      </c>
      <c r="D37" s="26"/>
      <c r="E37" s="114"/>
      <c r="F37" s="137"/>
      <c r="G37" s="114"/>
      <c r="H37" s="26"/>
      <c r="I37" s="114"/>
      <c r="J37" s="6">
        <f>69020+3980</f>
        <v>73000</v>
      </c>
      <c r="K37" s="113">
        <v>66085.05</v>
      </c>
      <c r="L37" s="6"/>
      <c r="M37" s="113"/>
      <c r="N37" s="26"/>
      <c r="O37" s="114"/>
      <c r="P37" s="6">
        <f t="shared" si="1"/>
        <v>73000</v>
      </c>
      <c r="Q37" s="120">
        <f>31590.21+7250+15227.05+8385.74+237.99+3394.06</f>
        <v>66085.049999999988</v>
      </c>
      <c r="R37" s="45">
        <f t="shared" si="2"/>
        <v>90.527465753424636</v>
      </c>
    </row>
    <row r="38" spans="2:20" s="32" customFormat="1" ht="15" customHeight="1" x14ac:dyDescent="0.3">
      <c r="B38" s="47">
        <v>6631</v>
      </c>
      <c r="C38" s="33" t="s">
        <v>13</v>
      </c>
      <c r="D38" s="26"/>
      <c r="E38" s="114"/>
      <c r="F38" s="137"/>
      <c r="G38" s="114"/>
      <c r="H38" s="6"/>
      <c r="I38" s="113"/>
      <c r="J38" s="26"/>
      <c r="K38" s="114"/>
      <c r="L38" s="6"/>
      <c r="M38" s="113">
        <v>700</v>
      </c>
      <c r="N38" s="26"/>
      <c r="O38" s="114"/>
      <c r="P38" s="6">
        <f t="shared" si="1"/>
        <v>0</v>
      </c>
      <c r="Q38" s="120">
        <v>700</v>
      </c>
      <c r="R38" s="45" t="s">
        <v>21</v>
      </c>
    </row>
    <row r="39" spans="2:20" s="32" customFormat="1" ht="15" customHeight="1" x14ac:dyDescent="0.3">
      <c r="B39" s="47">
        <v>6711</v>
      </c>
      <c r="C39" s="33" t="s">
        <v>14</v>
      </c>
      <c r="D39" s="6">
        <f>205317+19910+83330+18625</f>
        <v>327182</v>
      </c>
      <c r="E39" s="113">
        <v>204811.1</v>
      </c>
      <c r="F39" s="11"/>
      <c r="G39" s="113"/>
      <c r="H39" s="26"/>
      <c r="I39" s="114"/>
      <c r="J39" s="26"/>
      <c r="K39" s="114"/>
      <c r="L39" s="26"/>
      <c r="M39" s="114"/>
      <c r="N39" s="26"/>
      <c r="O39" s="114"/>
      <c r="P39" s="6">
        <f t="shared" si="1"/>
        <v>327182</v>
      </c>
      <c r="Q39" s="120">
        <f>63054.07+68456.92+57124.35+4613.45+11562.31</f>
        <v>204811.1</v>
      </c>
      <c r="R39" s="45">
        <f t="shared" si="2"/>
        <v>62.598523146138852</v>
      </c>
    </row>
    <row r="40" spans="2:20" s="32" customFormat="1" ht="15" customHeight="1" x14ac:dyDescent="0.3">
      <c r="B40" s="47">
        <v>6831</v>
      </c>
      <c r="C40" s="33" t="s">
        <v>15</v>
      </c>
      <c r="D40" s="26"/>
      <c r="E40" s="114"/>
      <c r="F40" s="137"/>
      <c r="G40" s="114"/>
      <c r="H40" s="26"/>
      <c r="I40" s="114"/>
      <c r="J40" s="26"/>
      <c r="K40" s="113">
        <v>640.84</v>
      </c>
      <c r="L40" s="26"/>
      <c r="M40" s="114"/>
      <c r="N40" s="26"/>
      <c r="O40" s="114"/>
      <c r="P40" s="6">
        <f t="shared" si="1"/>
        <v>0</v>
      </c>
      <c r="Q40" s="120">
        <v>640.84</v>
      </c>
      <c r="R40" s="45" t="s">
        <v>21</v>
      </c>
    </row>
    <row r="41" spans="2:20" s="32" customFormat="1" ht="15" customHeight="1" x14ac:dyDescent="0.3">
      <c r="B41" s="47">
        <v>7211</v>
      </c>
      <c r="C41" s="34" t="s">
        <v>83</v>
      </c>
      <c r="D41" s="26"/>
      <c r="E41" s="114"/>
      <c r="F41" s="137"/>
      <c r="G41" s="114"/>
      <c r="H41" s="26"/>
      <c r="I41" s="114"/>
      <c r="J41" s="26"/>
      <c r="K41" s="114"/>
      <c r="L41" s="26"/>
      <c r="M41" s="114"/>
      <c r="N41" s="6">
        <v>260</v>
      </c>
      <c r="O41" s="113">
        <v>241.59</v>
      </c>
      <c r="P41" s="6">
        <f t="shared" si="1"/>
        <v>260</v>
      </c>
      <c r="Q41" s="120">
        <v>241.59</v>
      </c>
      <c r="R41" s="45">
        <f>Q41/P41*100</f>
        <v>92.919230769230765</v>
      </c>
    </row>
    <row r="42" spans="2:20" s="32" customFormat="1" ht="15" customHeight="1" x14ac:dyDescent="0.3">
      <c r="B42" s="47"/>
      <c r="C42" s="7" t="s">
        <v>16</v>
      </c>
      <c r="D42" s="8">
        <f t="shared" ref="D42:O42" si="3">SUM(D31:D41)</f>
        <v>3143222</v>
      </c>
      <c r="E42" s="115">
        <f t="shared" si="3"/>
        <v>1545077.46</v>
      </c>
      <c r="F42" s="142">
        <f t="shared" si="3"/>
        <v>13010</v>
      </c>
      <c r="G42" s="115">
        <f t="shared" si="3"/>
        <v>9981.06</v>
      </c>
      <c r="H42" s="8">
        <f t="shared" si="3"/>
        <v>100870</v>
      </c>
      <c r="I42" s="115">
        <f t="shared" si="3"/>
        <v>56696.06</v>
      </c>
      <c r="J42" s="8">
        <f t="shared" si="3"/>
        <v>84950</v>
      </c>
      <c r="K42" s="115">
        <f t="shared" si="3"/>
        <v>70823.399999999994</v>
      </c>
      <c r="L42" s="8">
        <f t="shared" si="3"/>
        <v>0</v>
      </c>
      <c r="M42" s="115">
        <f t="shared" si="3"/>
        <v>700</v>
      </c>
      <c r="N42" s="8">
        <f t="shared" si="3"/>
        <v>260</v>
      </c>
      <c r="O42" s="115">
        <f t="shared" si="3"/>
        <v>241.59</v>
      </c>
      <c r="P42" s="141">
        <f t="shared" si="1"/>
        <v>3342312</v>
      </c>
      <c r="Q42" s="115">
        <f>SUM(Q31:Q41)</f>
        <v>1683519.5700000003</v>
      </c>
      <c r="R42" s="45">
        <f>Q42/P42*100</f>
        <v>50.369910708515555</v>
      </c>
      <c r="S42" s="35"/>
      <c r="T42" s="35"/>
    </row>
    <row r="43" spans="2:20" s="32" customFormat="1" ht="15" customHeight="1" x14ac:dyDescent="0.3">
      <c r="B43" s="47"/>
      <c r="C43" s="25" t="s">
        <v>19</v>
      </c>
      <c r="D43" s="5">
        <f>67091</f>
        <v>67091</v>
      </c>
      <c r="E43" s="113">
        <f>67091.38+122469.69+663.61</f>
        <v>190224.68</v>
      </c>
      <c r="F43" s="138"/>
      <c r="G43" s="116"/>
      <c r="H43" s="5">
        <f>39820+18276</f>
        <v>58096</v>
      </c>
      <c r="I43" s="113">
        <f>18275.56+52216.02</f>
        <v>70491.58</v>
      </c>
      <c r="J43" s="8"/>
      <c r="K43" s="115"/>
      <c r="L43" s="8"/>
      <c r="M43" s="115"/>
      <c r="N43" s="8"/>
      <c r="O43" s="115"/>
      <c r="P43" s="6">
        <f t="shared" si="1"/>
        <v>125187</v>
      </c>
      <c r="Q43" s="116">
        <v>260716.26</v>
      </c>
      <c r="R43" s="45"/>
      <c r="S43" s="35"/>
      <c r="T43" s="35"/>
    </row>
    <row r="44" spans="2:20" s="32" customFormat="1" ht="15" customHeight="1" thickBot="1" x14ac:dyDescent="0.35">
      <c r="B44" s="62"/>
      <c r="C44" s="63" t="s">
        <v>16</v>
      </c>
      <c r="D44" s="64">
        <f>D42+D43</f>
        <v>3210313</v>
      </c>
      <c r="E44" s="117">
        <f>E42+E43</f>
        <v>1735302.14</v>
      </c>
      <c r="F44" s="143">
        <f t="shared" ref="F44:G44" si="4">F42+F43</f>
        <v>13010</v>
      </c>
      <c r="G44" s="117">
        <f t="shared" si="4"/>
        <v>9981.06</v>
      </c>
      <c r="H44" s="64">
        <f t="shared" ref="H44:Q44" si="5">H42+H43</f>
        <v>158966</v>
      </c>
      <c r="I44" s="117">
        <f t="shared" si="5"/>
        <v>127187.64</v>
      </c>
      <c r="J44" s="64">
        <f t="shared" si="5"/>
        <v>84950</v>
      </c>
      <c r="K44" s="117">
        <f t="shared" si="5"/>
        <v>70823.399999999994</v>
      </c>
      <c r="L44" s="64">
        <f t="shared" si="5"/>
        <v>0</v>
      </c>
      <c r="M44" s="117">
        <f t="shared" si="5"/>
        <v>700</v>
      </c>
      <c r="N44" s="64">
        <f t="shared" si="5"/>
        <v>260</v>
      </c>
      <c r="O44" s="117">
        <f t="shared" si="5"/>
        <v>241.59</v>
      </c>
      <c r="P44" s="64">
        <f t="shared" si="5"/>
        <v>3467499</v>
      </c>
      <c r="Q44" s="117">
        <f t="shared" si="5"/>
        <v>1944235.8300000003</v>
      </c>
      <c r="R44" s="58"/>
      <c r="S44" s="35"/>
    </row>
    <row r="45" spans="2:20" s="32" customFormat="1" ht="15" customHeight="1" thickBot="1" x14ac:dyDescent="0.35">
      <c r="B45" s="185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7"/>
      <c r="S45" s="35"/>
    </row>
    <row r="46" spans="2:20" s="32" customFormat="1" ht="15" customHeight="1" x14ac:dyDescent="0.3">
      <c r="B46" s="174" t="s">
        <v>64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6"/>
      <c r="S46" s="35"/>
    </row>
    <row r="47" spans="2:20" s="32" customFormat="1" ht="15" customHeight="1" x14ac:dyDescent="0.3">
      <c r="B47" s="44">
        <v>3</v>
      </c>
      <c r="C47" s="31" t="s">
        <v>17</v>
      </c>
      <c r="D47" s="6"/>
      <c r="E47" s="113"/>
      <c r="F47" s="11"/>
      <c r="G47" s="113"/>
      <c r="H47" s="6"/>
      <c r="I47" s="6"/>
      <c r="J47" s="6"/>
      <c r="K47" s="6"/>
      <c r="L47" s="6"/>
      <c r="M47" s="6"/>
      <c r="N47" s="6"/>
      <c r="O47" s="6"/>
      <c r="P47" s="6"/>
      <c r="Q47" s="123"/>
      <c r="R47" s="45"/>
    </row>
    <row r="48" spans="2:20" s="32" customFormat="1" ht="15" customHeight="1" x14ac:dyDescent="0.3">
      <c r="B48" s="48">
        <v>3212</v>
      </c>
      <c r="C48" s="36" t="s">
        <v>28</v>
      </c>
      <c r="D48" s="6">
        <v>114140</v>
      </c>
      <c r="E48" s="113">
        <v>63054.07</v>
      </c>
      <c r="F48" s="11"/>
      <c r="G48" s="113"/>
      <c r="H48" s="6"/>
      <c r="I48" s="6"/>
      <c r="J48" s="6"/>
      <c r="K48" s="6"/>
      <c r="L48" s="6"/>
      <c r="M48" s="6"/>
      <c r="N48" s="6"/>
      <c r="O48" s="6"/>
      <c r="P48" s="11">
        <f>D48</f>
        <v>114140</v>
      </c>
      <c r="Q48" s="120">
        <f>E48</f>
        <v>63054.07</v>
      </c>
      <c r="R48" s="45">
        <f t="shared" ref="R48:R58" si="6">Q48/P48*100</f>
        <v>55.242745750832313</v>
      </c>
    </row>
    <row r="49" spans="2:18" s="32" customFormat="1" ht="15" customHeight="1" x14ac:dyDescent="0.3">
      <c r="B49" s="48">
        <v>3221</v>
      </c>
      <c r="C49" s="36" t="s">
        <v>30</v>
      </c>
      <c r="D49" s="6">
        <v>1060</v>
      </c>
      <c r="E49" s="113">
        <v>3778.55</v>
      </c>
      <c r="F49" s="11"/>
      <c r="G49" s="113"/>
      <c r="H49" s="6"/>
      <c r="I49" s="6"/>
      <c r="J49" s="6"/>
      <c r="K49" s="6"/>
      <c r="L49" s="6"/>
      <c r="M49" s="6"/>
      <c r="N49" s="6"/>
      <c r="O49" s="6"/>
      <c r="P49" s="11">
        <f t="shared" ref="P49:P58" si="7">D49</f>
        <v>1060</v>
      </c>
      <c r="Q49" s="120">
        <f t="shared" ref="Q49:Q58" si="8">E49</f>
        <v>3778.55</v>
      </c>
      <c r="R49" s="45">
        <f t="shared" si="6"/>
        <v>356.46698113207549</v>
      </c>
    </row>
    <row r="50" spans="2:18" s="32" customFormat="1" ht="15" customHeight="1" x14ac:dyDescent="0.3">
      <c r="B50" s="48">
        <v>3222</v>
      </c>
      <c r="C50" s="36" t="s">
        <v>31</v>
      </c>
      <c r="D50" s="6">
        <v>1020</v>
      </c>
      <c r="E50" s="113">
        <v>1204.94</v>
      </c>
      <c r="F50" s="11"/>
      <c r="G50" s="113"/>
      <c r="H50" s="6"/>
      <c r="I50" s="6"/>
      <c r="J50" s="6"/>
      <c r="K50" s="6"/>
      <c r="L50" s="6"/>
      <c r="M50" s="6"/>
      <c r="N50" s="6"/>
      <c r="O50" s="6"/>
      <c r="P50" s="11">
        <f t="shared" si="7"/>
        <v>1020</v>
      </c>
      <c r="Q50" s="120">
        <f t="shared" si="8"/>
        <v>1204.94</v>
      </c>
      <c r="R50" s="45">
        <f t="shared" si="6"/>
        <v>118.13137254901962</v>
      </c>
    </row>
    <row r="51" spans="2:18" s="32" customFormat="1" ht="15" customHeight="1" x14ac:dyDescent="0.3">
      <c r="B51" s="48">
        <v>3223</v>
      </c>
      <c r="C51" s="36" t="s">
        <v>32</v>
      </c>
      <c r="D51" s="6">
        <v>39820</v>
      </c>
      <c r="E51" s="113">
        <f>10423.41+31299.77</f>
        <v>41723.18</v>
      </c>
      <c r="F51" s="11"/>
      <c r="G51" s="113"/>
      <c r="H51" s="6"/>
      <c r="I51" s="6"/>
      <c r="J51" s="6"/>
      <c r="K51" s="6"/>
      <c r="L51" s="6"/>
      <c r="M51" s="6"/>
      <c r="N51" s="6"/>
      <c r="O51" s="6"/>
      <c r="P51" s="11">
        <f t="shared" si="7"/>
        <v>39820</v>
      </c>
      <c r="Q51" s="120">
        <f t="shared" si="8"/>
        <v>41723.18</v>
      </c>
      <c r="R51" s="45">
        <f t="shared" si="6"/>
        <v>104.77945755901557</v>
      </c>
    </row>
    <row r="52" spans="2:18" s="32" customFormat="1" ht="15" customHeight="1" x14ac:dyDescent="0.3">
      <c r="B52" s="48">
        <v>3224</v>
      </c>
      <c r="C52" s="36" t="s">
        <v>52</v>
      </c>
      <c r="D52" s="6">
        <v>1200</v>
      </c>
      <c r="E52" s="113">
        <v>460.01</v>
      </c>
      <c r="F52" s="11"/>
      <c r="G52" s="113"/>
      <c r="H52" s="6"/>
      <c r="I52" s="6"/>
      <c r="J52" s="6"/>
      <c r="K52" s="6"/>
      <c r="L52" s="6"/>
      <c r="M52" s="6"/>
      <c r="N52" s="6"/>
      <c r="O52" s="6"/>
      <c r="P52" s="11">
        <f t="shared" si="7"/>
        <v>1200</v>
      </c>
      <c r="Q52" s="120">
        <f t="shared" si="8"/>
        <v>460.01</v>
      </c>
      <c r="R52" s="45">
        <f t="shared" si="6"/>
        <v>38.334166666666661</v>
      </c>
    </row>
    <row r="53" spans="2:18" s="32" customFormat="1" ht="15" customHeight="1" x14ac:dyDescent="0.3">
      <c r="B53" s="48">
        <v>3231</v>
      </c>
      <c r="C53" s="36" t="s">
        <v>33</v>
      </c>
      <c r="D53" s="6">
        <f>1327+660</f>
        <v>1987</v>
      </c>
      <c r="E53" s="113">
        <f>925.28+440.1</f>
        <v>1365.38</v>
      </c>
      <c r="F53" s="11"/>
      <c r="G53" s="113"/>
      <c r="H53" s="6"/>
      <c r="I53" s="6"/>
      <c r="J53" s="6"/>
      <c r="K53" s="6"/>
      <c r="L53" s="6"/>
      <c r="M53" s="6"/>
      <c r="N53" s="6"/>
      <c r="O53" s="6"/>
      <c r="P53" s="11">
        <f t="shared" si="7"/>
        <v>1987</v>
      </c>
      <c r="Q53" s="120">
        <f t="shared" si="8"/>
        <v>1365.38</v>
      </c>
      <c r="R53" s="45">
        <f t="shared" si="6"/>
        <v>68.715651736285864</v>
      </c>
    </row>
    <row r="54" spans="2:18" s="32" customFormat="1" ht="15" customHeight="1" x14ac:dyDescent="0.3">
      <c r="B54" s="48">
        <v>3232</v>
      </c>
      <c r="C54" s="36" t="s">
        <v>53</v>
      </c>
      <c r="D54" s="6">
        <v>1330</v>
      </c>
      <c r="E54" s="113">
        <v>1942.22</v>
      </c>
      <c r="F54" s="11"/>
      <c r="G54" s="113"/>
      <c r="H54" s="6"/>
      <c r="I54" s="6"/>
      <c r="J54" s="6"/>
      <c r="K54" s="6"/>
      <c r="L54" s="6"/>
      <c r="M54" s="6"/>
      <c r="N54" s="6"/>
      <c r="O54" s="6"/>
      <c r="P54" s="11">
        <f t="shared" si="7"/>
        <v>1330</v>
      </c>
      <c r="Q54" s="120">
        <f t="shared" si="8"/>
        <v>1942.22</v>
      </c>
      <c r="R54" s="45">
        <f t="shared" si="6"/>
        <v>146.03157894736842</v>
      </c>
    </row>
    <row r="55" spans="2:18" s="37" customFormat="1" ht="15" customHeight="1" x14ac:dyDescent="0.25">
      <c r="B55" s="48">
        <v>3234</v>
      </c>
      <c r="C55" s="27" t="s">
        <v>34</v>
      </c>
      <c r="D55" s="6">
        <v>8630</v>
      </c>
      <c r="E55" s="113">
        <v>5835.46</v>
      </c>
      <c r="F55" s="11"/>
      <c r="G55" s="113"/>
      <c r="H55" s="6"/>
      <c r="I55" s="6"/>
      <c r="J55" s="6"/>
      <c r="K55" s="6"/>
      <c r="L55" s="6"/>
      <c r="M55" s="6"/>
      <c r="N55" s="6"/>
      <c r="O55" s="6"/>
      <c r="P55" s="11">
        <f t="shared" si="7"/>
        <v>8630</v>
      </c>
      <c r="Q55" s="120">
        <f t="shared" si="8"/>
        <v>5835.46</v>
      </c>
      <c r="R55" s="45">
        <f t="shared" si="6"/>
        <v>67.618308227114724</v>
      </c>
    </row>
    <row r="56" spans="2:18" s="32" customFormat="1" ht="15" customHeight="1" x14ac:dyDescent="0.3">
      <c r="B56" s="48">
        <v>3235</v>
      </c>
      <c r="C56" s="27" t="s">
        <v>35</v>
      </c>
      <c r="D56" s="6">
        <v>35070</v>
      </c>
      <c r="E56" s="113">
        <v>14761.81</v>
      </c>
      <c r="F56" s="11"/>
      <c r="G56" s="113"/>
      <c r="H56" s="6"/>
      <c r="I56" s="6"/>
      <c r="J56" s="6"/>
      <c r="K56" s="6"/>
      <c r="L56" s="6"/>
      <c r="M56" s="6"/>
      <c r="N56" s="6"/>
      <c r="O56" s="6"/>
      <c r="P56" s="11">
        <f t="shared" si="7"/>
        <v>35070</v>
      </c>
      <c r="Q56" s="120">
        <f t="shared" si="8"/>
        <v>14761.81</v>
      </c>
      <c r="R56" s="45">
        <f t="shared" si="6"/>
        <v>42.092415169660683</v>
      </c>
    </row>
    <row r="57" spans="2:18" s="38" customFormat="1" ht="15" customHeight="1" x14ac:dyDescent="0.3">
      <c r="B57" s="48">
        <v>3238</v>
      </c>
      <c r="C57" s="27" t="s">
        <v>36</v>
      </c>
      <c r="D57" s="6">
        <v>530</v>
      </c>
      <c r="E57" s="113">
        <v>504.25</v>
      </c>
      <c r="F57" s="11"/>
      <c r="G57" s="113"/>
      <c r="H57" s="6"/>
      <c r="I57" s="6"/>
      <c r="J57" s="6"/>
      <c r="K57" s="6"/>
      <c r="L57" s="6"/>
      <c r="M57" s="6"/>
      <c r="N57" s="6"/>
      <c r="O57" s="6"/>
      <c r="P57" s="11">
        <f t="shared" si="7"/>
        <v>530</v>
      </c>
      <c r="Q57" s="120">
        <f t="shared" si="8"/>
        <v>504.25</v>
      </c>
      <c r="R57" s="45">
        <f t="shared" si="6"/>
        <v>95.14150943396227</v>
      </c>
    </row>
    <row r="58" spans="2:18" s="32" customFormat="1" ht="15" customHeight="1" x14ac:dyDescent="0.3">
      <c r="B58" s="48">
        <v>3431</v>
      </c>
      <c r="C58" s="27" t="s">
        <v>37</v>
      </c>
      <c r="D58" s="6">
        <v>530</v>
      </c>
      <c r="E58" s="113">
        <v>268.99</v>
      </c>
      <c r="F58" s="11"/>
      <c r="G58" s="113"/>
      <c r="H58" s="6"/>
      <c r="I58" s="6"/>
      <c r="J58" s="6"/>
      <c r="K58" s="6"/>
      <c r="L58" s="6"/>
      <c r="M58" s="6"/>
      <c r="N58" s="6"/>
      <c r="O58" s="6"/>
      <c r="P58" s="11">
        <f t="shared" si="7"/>
        <v>530</v>
      </c>
      <c r="Q58" s="120">
        <f t="shared" si="8"/>
        <v>268.99</v>
      </c>
      <c r="R58" s="45">
        <f t="shared" si="6"/>
        <v>50.752830188679241</v>
      </c>
    </row>
    <row r="59" spans="2:18" s="32" customFormat="1" ht="15" customHeight="1" thickBot="1" x14ac:dyDescent="0.35">
      <c r="B59" s="65"/>
      <c r="C59" s="66" t="s">
        <v>16</v>
      </c>
      <c r="D59" s="67">
        <f>SUM(D48:D58)</f>
        <v>205317</v>
      </c>
      <c r="E59" s="121">
        <f>SUM(E48:E58)</f>
        <v>134898.85999999999</v>
      </c>
      <c r="F59" s="139"/>
      <c r="G59" s="121"/>
      <c r="H59" s="67">
        <f>SUM(H48:H58)</f>
        <v>0</v>
      </c>
      <c r="I59" s="67"/>
      <c r="J59" s="67">
        <f>SUM(J48:J58)</f>
        <v>0</v>
      </c>
      <c r="K59" s="67"/>
      <c r="L59" s="67">
        <f>SUM(L48:L58)</f>
        <v>0</v>
      </c>
      <c r="M59" s="67"/>
      <c r="N59" s="67">
        <f>SUM(N48:N58)</f>
        <v>0</v>
      </c>
      <c r="O59" s="67"/>
      <c r="P59" s="67">
        <f>SUM(P48:P58)</f>
        <v>205317</v>
      </c>
      <c r="Q59" s="121">
        <f>SUM(Q48:Q58)</f>
        <v>134898.85999999999</v>
      </c>
      <c r="R59" s="58">
        <f>Q59/P59*100</f>
        <v>65.7027231062211</v>
      </c>
    </row>
    <row r="60" spans="2:18" s="32" customFormat="1" ht="15" customHeight="1" thickBot="1" x14ac:dyDescent="0.35"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4"/>
    </row>
    <row r="61" spans="2:18" s="32" customFormat="1" ht="15" customHeight="1" x14ac:dyDescent="0.3">
      <c r="B61" s="177" t="s">
        <v>66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9"/>
    </row>
    <row r="62" spans="2:18" s="32" customFormat="1" ht="15" customHeight="1" x14ac:dyDescent="0.3">
      <c r="B62" s="49">
        <v>3</v>
      </c>
      <c r="C62" s="42" t="s">
        <v>17</v>
      </c>
      <c r="D62" s="43"/>
      <c r="E62" s="122"/>
      <c r="F62" s="140"/>
      <c r="G62" s="122"/>
      <c r="H62" s="43"/>
      <c r="I62" s="43"/>
      <c r="J62" s="43"/>
      <c r="K62" s="43"/>
      <c r="L62" s="43"/>
      <c r="M62" s="43"/>
      <c r="N62" s="43"/>
      <c r="O62" s="43"/>
      <c r="P62" s="43"/>
      <c r="Q62" s="124"/>
      <c r="R62" s="50"/>
    </row>
    <row r="63" spans="2:18" s="32" customFormat="1" ht="15" customHeight="1" x14ac:dyDescent="0.3">
      <c r="B63" s="48">
        <v>3221</v>
      </c>
      <c r="C63" s="36" t="s">
        <v>30</v>
      </c>
      <c r="D63" s="6">
        <f>130+3980</f>
        <v>4110</v>
      </c>
      <c r="E63" s="113">
        <f>77.9+1455.52</f>
        <v>1533.42</v>
      </c>
      <c r="F63" s="11"/>
      <c r="G63" s="113"/>
      <c r="H63" s="6"/>
      <c r="I63" s="6"/>
      <c r="J63" s="6"/>
      <c r="K63" s="6"/>
      <c r="L63" s="6"/>
      <c r="M63" s="6"/>
      <c r="N63" s="6"/>
      <c r="O63" s="6"/>
      <c r="P63" s="11">
        <f>D63</f>
        <v>4110</v>
      </c>
      <c r="Q63" s="120">
        <f>E63</f>
        <v>1533.42</v>
      </c>
      <c r="R63" s="45">
        <f t="shared" ref="R63:R71" si="9">Q63/P63*100</f>
        <v>37.309489051094893</v>
      </c>
    </row>
    <row r="64" spans="2:18" s="32" customFormat="1" ht="15" customHeight="1" x14ac:dyDescent="0.3">
      <c r="B64" s="48">
        <v>3222</v>
      </c>
      <c r="C64" s="36" t="s">
        <v>31</v>
      </c>
      <c r="D64" s="6">
        <v>38210</v>
      </c>
      <c r="E64" s="113">
        <v>30618.59</v>
      </c>
      <c r="F64" s="11"/>
      <c r="G64" s="113"/>
      <c r="H64" s="6"/>
      <c r="I64" s="6"/>
      <c r="J64" s="6"/>
      <c r="K64" s="6"/>
      <c r="L64" s="6"/>
      <c r="M64" s="6"/>
      <c r="N64" s="6"/>
      <c r="O64" s="6"/>
      <c r="P64" s="11">
        <f t="shared" ref="P64:P70" si="10">D64</f>
        <v>38210</v>
      </c>
      <c r="Q64" s="120">
        <f t="shared" ref="Q64:Q70" si="11">E64</f>
        <v>30618.59</v>
      </c>
      <c r="R64" s="45">
        <f t="shared" si="9"/>
        <v>80.132399895315359</v>
      </c>
    </row>
    <row r="65" spans="2:18" s="32" customFormat="1" ht="15" customHeight="1" x14ac:dyDescent="0.3">
      <c r="B65" s="48">
        <v>3223</v>
      </c>
      <c r="C65" s="36" t="s">
        <v>32</v>
      </c>
      <c r="D65" s="6">
        <f>9300+15920</f>
        <v>25220</v>
      </c>
      <c r="E65" s="113">
        <f>5579.73+16825.85</f>
        <v>22405.579999999998</v>
      </c>
      <c r="F65" s="11"/>
      <c r="G65" s="113"/>
      <c r="H65" s="6"/>
      <c r="I65" s="6"/>
      <c r="J65" s="6"/>
      <c r="K65" s="6"/>
      <c r="L65" s="6"/>
      <c r="M65" s="6"/>
      <c r="N65" s="6"/>
      <c r="O65" s="6"/>
      <c r="P65" s="11">
        <f t="shared" si="10"/>
        <v>25220</v>
      </c>
      <c r="Q65" s="120">
        <f t="shared" si="11"/>
        <v>22405.579999999998</v>
      </c>
      <c r="R65" s="45">
        <f t="shared" si="9"/>
        <v>88.840523394131637</v>
      </c>
    </row>
    <row r="66" spans="2:18" s="32" customFormat="1" ht="15" customHeight="1" x14ac:dyDescent="0.3">
      <c r="B66" s="48">
        <v>3224</v>
      </c>
      <c r="C66" s="36" t="s">
        <v>52</v>
      </c>
      <c r="D66" s="6">
        <v>1720</v>
      </c>
      <c r="E66" s="113">
        <v>225.95</v>
      </c>
      <c r="F66" s="11"/>
      <c r="G66" s="113"/>
      <c r="H66" s="6"/>
      <c r="I66" s="6"/>
      <c r="J66" s="6"/>
      <c r="K66" s="6"/>
      <c r="L66" s="6"/>
      <c r="M66" s="6"/>
      <c r="N66" s="6"/>
      <c r="O66" s="6"/>
      <c r="P66" s="11">
        <f t="shared" si="10"/>
        <v>1720</v>
      </c>
      <c r="Q66" s="120">
        <f t="shared" si="11"/>
        <v>225.95</v>
      </c>
      <c r="R66" s="45">
        <f t="shared" si="9"/>
        <v>13.136627906976745</v>
      </c>
    </row>
    <row r="67" spans="2:18" s="32" customFormat="1" ht="15" customHeight="1" x14ac:dyDescent="0.3">
      <c r="B67" s="48">
        <v>3231</v>
      </c>
      <c r="C67" s="36" t="s">
        <v>33</v>
      </c>
      <c r="D67" s="6">
        <v>600</v>
      </c>
      <c r="E67" s="113">
        <v>600</v>
      </c>
      <c r="F67" s="11"/>
      <c r="G67" s="113"/>
      <c r="H67" s="6"/>
      <c r="I67" s="6"/>
      <c r="J67" s="6"/>
      <c r="K67" s="6"/>
      <c r="L67" s="6"/>
      <c r="M67" s="6"/>
      <c r="N67" s="6"/>
      <c r="O67" s="6"/>
      <c r="P67" s="11">
        <f t="shared" si="10"/>
        <v>600</v>
      </c>
      <c r="Q67" s="120">
        <f t="shared" si="11"/>
        <v>600</v>
      </c>
      <c r="R67" s="45">
        <f t="shared" si="9"/>
        <v>100</v>
      </c>
    </row>
    <row r="68" spans="2:18" s="32" customFormat="1" ht="15" customHeight="1" x14ac:dyDescent="0.3">
      <c r="B68" s="48">
        <v>3232</v>
      </c>
      <c r="C68" s="36" t="s">
        <v>53</v>
      </c>
      <c r="D68" s="6">
        <v>2650</v>
      </c>
      <c r="E68" s="113">
        <v>1290.02</v>
      </c>
      <c r="F68" s="11"/>
      <c r="G68" s="113"/>
      <c r="H68" s="6"/>
      <c r="I68" s="6"/>
      <c r="J68" s="6"/>
      <c r="K68" s="6"/>
      <c r="L68" s="6"/>
      <c r="M68" s="6"/>
      <c r="N68" s="6"/>
      <c r="O68" s="6"/>
      <c r="P68" s="11">
        <f t="shared" si="10"/>
        <v>2650</v>
      </c>
      <c r="Q68" s="120">
        <f t="shared" si="11"/>
        <v>1290.02</v>
      </c>
      <c r="R68" s="45">
        <f t="shared" si="9"/>
        <v>48.68</v>
      </c>
    </row>
    <row r="69" spans="2:18" s="37" customFormat="1" ht="15" customHeight="1" x14ac:dyDescent="0.25">
      <c r="B69" s="48">
        <v>3234</v>
      </c>
      <c r="C69" s="27" t="s">
        <v>34</v>
      </c>
      <c r="D69" s="6">
        <v>10620</v>
      </c>
      <c r="E69" s="113">
        <v>3869.89</v>
      </c>
      <c r="F69" s="11"/>
      <c r="G69" s="113"/>
      <c r="H69" s="6"/>
      <c r="I69" s="6"/>
      <c r="J69" s="6"/>
      <c r="K69" s="6"/>
      <c r="L69" s="6"/>
      <c r="M69" s="6"/>
      <c r="N69" s="6"/>
      <c r="O69" s="6"/>
      <c r="P69" s="11">
        <f t="shared" si="10"/>
        <v>10620</v>
      </c>
      <c r="Q69" s="120">
        <f t="shared" si="11"/>
        <v>3869.89</v>
      </c>
      <c r="R69" s="45">
        <f t="shared" si="9"/>
        <v>36.439642184557435</v>
      </c>
    </row>
    <row r="70" spans="2:18" s="32" customFormat="1" ht="15" customHeight="1" x14ac:dyDescent="0.3">
      <c r="B70" s="48">
        <v>3236</v>
      </c>
      <c r="C70" s="27" t="s">
        <v>63</v>
      </c>
      <c r="D70" s="6">
        <v>200</v>
      </c>
      <c r="E70" s="113"/>
      <c r="F70" s="11"/>
      <c r="G70" s="113"/>
      <c r="H70" s="6"/>
      <c r="I70" s="6"/>
      <c r="J70" s="6"/>
      <c r="K70" s="6"/>
      <c r="L70" s="6"/>
      <c r="M70" s="6"/>
      <c r="N70" s="6"/>
      <c r="O70" s="6"/>
      <c r="P70" s="11">
        <f t="shared" si="10"/>
        <v>200</v>
      </c>
      <c r="Q70" s="120">
        <f t="shared" si="11"/>
        <v>0</v>
      </c>
      <c r="R70" s="45">
        <f t="shared" si="9"/>
        <v>0</v>
      </c>
    </row>
    <row r="71" spans="2:18" s="32" customFormat="1" ht="15" customHeight="1" thickBot="1" x14ac:dyDescent="0.35">
      <c r="B71" s="65"/>
      <c r="C71" s="66" t="s">
        <v>16</v>
      </c>
      <c r="D71" s="67">
        <f>SUM(D63:D70)</f>
        <v>83330</v>
      </c>
      <c r="E71" s="121">
        <f>SUM(E63:E70)</f>
        <v>60543.44999999999</v>
      </c>
      <c r="F71" s="139"/>
      <c r="G71" s="121"/>
      <c r="H71" s="67">
        <f t="shared" ref="H71:Q71" si="12">SUM(H63:H70)</f>
        <v>0</v>
      </c>
      <c r="I71" s="67"/>
      <c r="J71" s="67">
        <f t="shared" si="12"/>
        <v>0</v>
      </c>
      <c r="K71" s="67"/>
      <c r="L71" s="67">
        <f t="shared" si="12"/>
        <v>0</v>
      </c>
      <c r="M71" s="67"/>
      <c r="N71" s="67">
        <f t="shared" si="12"/>
        <v>0</v>
      </c>
      <c r="O71" s="67"/>
      <c r="P71" s="67">
        <f t="shared" si="12"/>
        <v>83330</v>
      </c>
      <c r="Q71" s="121">
        <f t="shared" si="12"/>
        <v>60543.44999999999</v>
      </c>
      <c r="R71" s="58">
        <f t="shared" si="9"/>
        <v>72.655046201848066</v>
      </c>
    </row>
    <row r="72" spans="2:18" s="32" customFormat="1" ht="15" customHeight="1" thickBot="1" x14ac:dyDescent="0.35">
      <c r="B72" s="18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4"/>
    </row>
    <row r="73" spans="2:18" s="32" customFormat="1" ht="15" customHeight="1" x14ac:dyDescent="0.3">
      <c r="B73" s="177" t="s">
        <v>68</v>
      </c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1"/>
    </row>
    <row r="74" spans="2:18" ht="15" customHeight="1" x14ac:dyDescent="0.3">
      <c r="B74" s="51">
        <v>3</v>
      </c>
      <c r="C74" s="2" t="s">
        <v>17</v>
      </c>
      <c r="D74" s="6"/>
      <c r="E74" s="113"/>
      <c r="F74" s="11"/>
      <c r="G74" s="113"/>
      <c r="H74" s="6"/>
      <c r="I74" s="113"/>
      <c r="J74" s="6"/>
      <c r="K74" s="113"/>
      <c r="L74" s="6"/>
      <c r="M74" s="113"/>
      <c r="N74" s="6"/>
      <c r="O74" s="113"/>
      <c r="P74" s="6"/>
      <c r="Q74" s="128"/>
      <c r="R74" s="45"/>
    </row>
    <row r="75" spans="2:18" ht="15" customHeight="1" x14ac:dyDescent="0.3">
      <c r="B75" s="52">
        <v>3111</v>
      </c>
      <c r="C75" s="10" t="s">
        <v>62</v>
      </c>
      <c r="D75" s="6">
        <v>2267570</v>
      </c>
      <c r="E75" s="113">
        <f>Q75-G75-I75-K75-M75-O75</f>
        <v>1079778.1500000001</v>
      </c>
      <c r="F75" s="11">
        <v>11680</v>
      </c>
      <c r="G75" s="113">
        <v>7313.97</v>
      </c>
      <c r="H75" s="6">
        <v>17176</v>
      </c>
      <c r="I75" s="113">
        <v>8496.6299999999992</v>
      </c>
      <c r="J75" s="6">
        <v>30530</v>
      </c>
      <c r="K75" s="113">
        <f>14059.65+248.88</f>
        <v>14308.529999999999</v>
      </c>
      <c r="L75" s="6"/>
      <c r="M75" s="113"/>
      <c r="N75" s="26"/>
      <c r="O75" s="114"/>
      <c r="P75" s="11">
        <f>D75+F75+H75+J75+L75+N75</f>
        <v>2326956</v>
      </c>
      <c r="Q75" s="129">
        <f>1017444.85+22200.21+494.05+31023.4+14413.37+24321.4</f>
        <v>1109897.28</v>
      </c>
      <c r="R75" s="45">
        <f t="shared" ref="R75:R102" si="13">Q75/P75*100</f>
        <v>47.69739006667939</v>
      </c>
    </row>
    <row r="76" spans="2:18" ht="15" customHeight="1" x14ac:dyDescent="0.3">
      <c r="B76" s="52">
        <v>3121</v>
      </c>
      <c r="C76" s="10" t="s">
        <v>18</v>
      </c>
      <c r="D76" s="6">
        <v>100870</v>
      </c>
      <c r="E76" s="113">
        <f t="shared" ref="E76:E110" si="14">Q76-G76-I76-K76-M76-O76</f>
        <v>49926.22</v>
      </c>
      <c r="F76" s="11"/>
      <c r="G76" s="113"/>
      <c r="H76" s="6"/>
      <c r="I76" s="113"/>
      <c r="J76" s="6">
        <v>1530</v>
      </c>
      <c r="K76" s="113"/>
      <c r="L76" s="6"/>
      <c r="M76" s="113"/>
      <c r="N76" s="26"/>
      <c r="O76" s="114"/>
      <c r="P76" s="11">
        <f t="shared" ref="P76:P110" si="15">D76+F76+H76+J76+L76+N76</f>
        <v>102400</v>
      </c>
      <c r="Q76" s="129">
        <f>8801.01+762.16+689.91+2813.1+36860.04</f>
        <v>49926.22</v>
      </c>
      <c r="R76" s="45">
        <f t="shared" si="13"/>
        <v>48.756074218750001</v>
      </c>
    </row>
    <row r="77" spans="2:18" ht="15" customHeight="1" x14ac:dyDescent="0.3">
      <c r="B77" s="52">
        <v>3132</v>
      </c>
      <c r="C77" s="10" t="s">
        <v>39</v>
      </c>
      <c r="D77" s="6">
        <v>371890</v>
      </c>
      <c r="E77" s="113">
        <f t="shared" si="14"/>
        <v>181025.33000000005</v>
      </c>
      <c r="F77" s="11"/>
      <c r="G77" s="113"/>
      <c r="H77" s="6"/>
      <c r="I77" s="113"/>
      <c r="J77" s="6">
        <v>5310</v>
      </c>
      <c r="K77" s="113">
        <f>2319.82+41.04</f>
        <v>2360.86</v>
      </c>
      <c r="L77" s="6"/>
      <c r="M77" s="113"/>
      <c r="N77" s="26"/>
      <c r="O77" s="114"/>
      <c r="P77" s="11">
        <f t="shared" si="15"/>
        <v>377200</v>
      </c>
      <c r="Q77" s="129">
        <f>177334.14+6041.22+2.45+8.38</f>
        <v>183386.19000000003</v>
      </c>
      <c r="R77" s="45">
        <f t="shared" si="13"/>
        <v>48.617759809119839</v>
      </c>
    </row>
    <row r="78" spans="2:18" ht="15" customHeight="1" x14ac:dyDescent="0.3">
      <c r="B78" s="52">
        <v>3211</v>
      </c>
      <c r="C78" s="10" t="s">
        <v>40</v>
      </c>
      <c r="D78" s="6">
        <v>26280</v>
      </c>
      <c r="E78" s="113">
        <f t="shared" si="14"/>
        <v>27148.430000000008</v>
      </c>
      <c r="F78" s="11"/>
      <c r="G78" s="113"/>
      <c r="H78" s="6">
        <v>3980</v>
      </c>
      <c r="I78" s="113">
        <v>1109.82</v>
      </c>
      <c r="J78" s="6">
        <v>3980</v>
      </c>
      <c r="K78" s="113">
        <v>3338.21</v>
      </c>
      <c r="L78" s="6"/>
      <c r="M78" s="113"/>
      <c r="N78" s="26"/>
      <c r="O78" s="114"/>
      <c r="P78" s="11">
        <f t="shared" si="15"/>
        <v>34240</v>
      </c>
      <c r="Q78" s="129">
        <f>7001.93+122.16+6740.26+210+2301.8+497.56+7779.27+2297.33+4161.36+436.79+48</f>
        <v>31596.460000000006</v>
      </c>
      <c r="R78" s="45">
        <f t="shared" si="13"/>
        <v>92.279380841121522</v>
      </c>
    </row>
    <row r="79" spans="2:18" ht="15" customHeight="1" x14ac:dyDescent="0.3">
      <c r="B79" s="53">
        <v>3212</v>
      </c>
      <c r="C79" s="12" t="s">
        <v>28</v>
      </c>
      <c r="D79" s="6">
        <v>9560</v>
      </c>
      <c r="E79" s="113">
        <f t="shared" si="14"/>
        <v>3211.1400000000012</v>
      </c>
      <c r="F79" s="11">
        <v>1330</v>
      </c>
      <c r="G79" s="113">
        <v>616.54999999999995</v>
      </c>
      <c r="H79" s="6">
        <v>1100</v>
      </c>
      <c r="I79" s="113">
        <v>598.46</v>
      </c>
      <c r="J79" s="6"/>
      <c r="K79" s="113"/>
      <c r="L79" s="6"/>
      <c r="M79" s="113"/>
      <c r="N79" s="26"/>
      <c r="O79" s="114"/>
      <c r="P79" s="11">
        <f t="shared" si="15"/>
        <v>11990</v>
      </c>
      <c r="Q79" s="129">
        <f>66274.21+1206.01-E48</f>
        <v>4426.1500000000015</v>
      </c>
      <c r="R79" s="45">
        <f t="shared" si="13"/>
        <v>36.915346121768152</v>
      </c>
    </row>
    <row r="80" spans="2:18" ht="15" customHeight="1" x14ac:dyDescent="0.3">
      <c r="B80" s="53">
        <v>3213</v>
      </c>
      <c r="C80" s="12" t="s">
        <v>29</v>
      </c>
      <c r="D80" s="6"/>
      <c r="E80" s="113">
        <f t="shared" si="14"/>
        <v>0</v>
      </c>
      <c r="F80" s="11"/>
      <c r="G80" s="113"/>
      <c r="H80" s="6">
        <v>2650</v>
      </c>
      <c r="I80" s="113">
        <v>389.44</v>
      </c>
      <c r="J80" s="6">
        <v>1330</v>
      </c>
      <c r="K80" s="113">
        <v>639.77</v>
      </c>
      <c r="L80" s="6"/>
      <c r="M80" s="113"/>
      <c r="N80" s="26"/>
      <c r="O80" s="114"/>
      <c r="P80" s="11">
        <f t="shared" si="15"/>
        <v>3980</v>
      </c>
      <c r="Q80" s="129">
        <f>1029.21</f>
        <v>1029.21</v>
      </c>
      <c r="R80" s="45">
        <f t="shared" si="13"/>
        <v>25.859547738693468</v>
      </c>
    </row>
    <row r="81" spans="2:18" ht="15" customHeight="1" x14ac:dyDescent="0.3">
      <c r="B81" s="53">
        <v>3221</v>
      </c>
      <c r="C81" s="12" t="s">
        <v>30</v>
      </c>
      <c r="D81" s="6">
        <v>3980</v>
      </c>
      <c r="E81" s="113">
        <f t="shared" si="14"/>
        <v>2412.7599999999998</v>
      </c>
      <c r="F81" s="11"/>
      <c r="G81" s="113"/>
      <c r="H81" s="6">
        <f>3320+6640+660</f>
        <v>10620</v>
      </c>
      <c r="I81" s="113">
        <f>234.14+1631.44</f>
        <v>1865.58</v>
      </c>
      <c r="J81" s="6">
        <f>930+1990</f>
        <v>2920</v>
      </c>
      <c r="K81" s="113">
        <v>2979.97</v>
      </c>
      <c r="L81" s="6"/>
      <c r="M81" s="113"/>
      <c r="N81" s="26"/>
      <c r="O81" s="114"/>
      <c r="P81" s="11">
        <f t="shared" si="15"/>
        <v>17520</v>
      </c>
      <c r="Q81" s="129">
        <f>3659.96+296.32+3129.21+5145.53+306.36+32.9-E49-E63</f>
        <v>7258.3099999999995</v>
      </c>
      <c r="R81" s="45">
        <f t="shared" si="13"/>
        <v>41.4287100456621</v>
      </c>
    </row>
    <row r="82" spans="2:18" ht="15" customHeight="1" x14ac:dyDescent="0.3">
      <c r="B82" s="53">
        <v>3222</v>
      </c>
      <c r="C82" s="12" t="s">
        <v>31</v>
      </c>
      <c r="D82" s="6">
        <v>660</v>
      </c>
      <c r="E82" s="113">
        <f t="shared" si="14"/>
        <v>4747.5299999999934</v>
      </c>
      <c r="F82" s="11"/>
      <c r="G82" s="113"/>
      <c r="H82" s="6">
        <f>44730+3320</f>
        <v>48050</v>
      </c>
      <c r="I82" s="113">
        <f>10109.06+3320</f>
        <v>13429.06</v>
      </c>
      <c r="J82" s="6">
        <f>670+1590</f>
        <v>2260</v>
      </c>
      <c r="K82" s="113">
        <f>6662.5-3320</f>
        <v>3342.5</v>
      </c>
      <c r="L82" s="6"/>
      <c r="M82" s="113"/>
      <c r="N82" s="6"/>
      <c r="O82" s="113"/>
      <c r="P82" s="11">
        <f t="shared" si="15"/>
        <v>50970</v>
      </c>
      <c r="Q82" s="129">
        <f>44288.46+3703.09+207.96+1496.92+454.92+93.53+3097.74-E50-E64</f>
        <v>21519.089999999993</v>
      </c>
      <c r="R82" s="45">
        <f t="shared" si="13"/>
        <v>42.219128899352548</v>
      </c>
    </row>
    <row r="83" spans="2:18" ht="15" customHeight="1" x14ac:dyDescent="0.3">
      <c r="B83" s="53">
        <v>3223</v>
      </c>
      <c r="C83" s="12" t="s">
        <v>32</v>
      </c>
      <c r="D83" s="6">
        <v>7960</v>
      </c>
      <c r="E83" s="113">
        <f t="shared" si="14"/>
        <v>4016.840000000002</v>
      </c>
      <c r="F83" s="11"/>
      <c r="G83" s="113"/>
      <c r="H83" s="6">
        <f>3990+6640+3990</f>
        <v>14620</v>
      </c>
      <c r="I83" s="113">
        <f>1613.85+297.03</f>
        <v>1910.8799999999999</v>
      </c>
      <c r="J83" s="6">
        <v>3050</v>
      </c>
      <c r="K83" s="113">
        <v>3083.38</v>
      </c>
      <c r="L83" s="6"/>
      <c r="M83" s="113"/>
      <c r="N83" s="6"/>
      <c r="O83" s="113"/>
      <c r="P83" s="11">
        <f t="shared" si="15"/>
        <v>25630</v>
      </c>
      <c r="Q83" s="129">
        <f>10242.72+1101.81+4882.05+2125.24+52019.47+936.65+26.01+1238.98+216.94+349.99-E51-E65</f>
        <v>9011.1000000000022</v>
      </c>
      <c r="R83" s="45">
        <f t="shared" si="13"/>
        <v>35.158408115489671</v>
      </c>
    </row>
    <row r="84" spans="2:18" ht="15" customHeight="1" x14ac:dyDescent="0.3">
      <c r="B84" s="53">
        <v>3224</v>
      </c>
      <c r="C84" s="12" t="s">
        <v>52</v>
      </c>
      <c r="D84" s="6"/>
      <c r="E84" s="113">
        <f t="shared" si="14"/>
        <v>0</v>
      </c>
      <c r="F84" s="11"/>
      <c r="G84" s="113"/>
      <c r="H84" s="6">
        <f>3990</f>
        <v>3990</v>
      </c>
      <c r="I84" s="113">
        <v>337.48</v>
      </c>
      <c r="J84" s="6">
        <v>1990</v>
      </c>
      <c r="K84" s="113">
        <f>957.89-120.8</f>
        <v>837.09</v>
      </c>
      <c r="L84" s="6"/>
      <c r="M84" s="113"/>
      <c r="N84" s="6">
        <v>130</v>
      </c>
      <c r="O84" s="113">
        <v>120.8</v>
      </c>
      <c r="P84" s="11">
        <f t="shared" si="15"/>
        <v>6110</v>
      </c>
      <c r="Q84" s="129">
        <f>91.57+143.08+1746.68-E52-E66</f>
        <v>1295.3700000000001</v>
      </c>
      <c r="R84" s="45">
        <f t="shared" si="13"/>
        <v>21.200818330605568</v>
      </c>
    </row>
    <row r="85" spans="2:18" ht="15" customHeight="1" x14ac:dyDescent="0.3">
      <c r="B85" s="53">
        <v>3225</v>
      </c>
      <c r="C85" s="12" t="s">
        <v>41</v>
      </c>
      <c r="D85" s="6"/>
      <c r="E85" s="113">
        <f t="shared" si="14"/>
        <v>0</v>
      </c>
      <c r="F85" s="11"/>
      <c r="G85" s="113"/>
      <c r="H85" s="6">
        <v>660</v>
      </c>
      <c r="I85" s="113"/>
      <c r="J85" s="6">
        <f>660+1990</f>
        <v>2650</v>
      </c>
      <c r="K85" s="113">
        <f>407.77+1039.63</f>
        <v>1447.4</v>
      </c>
      <c r="L85" s="6"/>
      <c r="M85" s="113"/>
      <c r="N85" s="6"/>
      <c r="O85" s="113"/>
      <c r="P85" s="11">
        <f t="shared" si="15"/>
        <v>3310</v>
      </c>
      <c r="Q85" s="129">
        <v>1447.4</v>
      </c>
      <c r="R85" s="45">
        <f t="shared" si="13"/>
        <v>43.728096676737159</v>
      </c>
    </row>
    <row r="86" spans="2:18" ht="15" customHeight="1" x14ac:dyDescent="0.3">
      <c r="B86" s="53">
        <v>3227</v>
      </c>
      <c r="C86" s="12" t="s">
        <v>42</v>
      </c>
      <c r="D86" s="6"/>
      <c r="E86" s="113">
        <f t="shared" si="14"/>
        <v>1330.63</v>
      </c>
      <c r="F86" s="11"/>
      <c r="G86" s="113"/>
      <c r="H86" s="6">
        <v>1990</v>
      </c>
      <c r="I86" s="113"/>
      <c r="J86" s="6">
        <v>400</v>
      </c>
      <c r="K86" s="113">
        <v>178.62</v>
      </c>
      <c r="L86" s="6"/>
      <c r="M86" s="113"/>
      <c r="N86" s="6"/>
      <c r="O86" s="113"/>
      <c r="P86" s="11">
        <f t="shared" si="15"/>
        <v>2390</v>
      </c>
      <c r="Q86" s="129">
        <v>1509.25</v>
      </c>
      <c r="R86" s="45">
        <f t="shared" si="13"/>
        <v>63.14853556485356</v>
      </c>
    </row>
    <row r="87" spans="2:18" ht="15" customHeight="1" x14ac:dyDescent="0.3">
      <c r="B87" s="53">
        <v>3231</v>
      </c>
      <c r="C87" s="12" t="s">
        <v>33</v>
      </c>
      <c r="D87" s="6"/>
      <c r="E87" s="113">
        <f t="shared" si="14"/>
        <v>2099.9999999999995</v>
      </c>
      <c r="F87" s="11"/>
      <c r="G87" s="113"/>
      <c r="H87" s="6">
        <f>2260+1330</f>
        <v>3590</v>
      </c>
      <c r="I87" s="113">
        <f>325.23+384.51</f>
        <v>709.74</v>
      </c>
      <c r="J87" s="6">
        <f>270+130</f>
        <v>400</v>
      </c>
      <c r="K87" s="113">
        <v>10.36</v>
      </c>
      <c r="L87" s="6"/>
      <c r="M87" s="113"/>
      <c r="N87" s="6"/>
      <c r="O87" s="113"/>
      <c r="P87" s="11">
        <f t="shared" si="15"/>
        <v>3990</v>
      </c>
      <c r="Q87" s="129">
        <f>1850.51+834.97+2100-E53-E67</f>
        <v>2820.0999999999995</v>
      </c>
      <c r="R87" s="45">
        <f t="shared" si="13"/>
        <v>70.679197994987447</v>
      </c>
    </row>
    <row r="88" spans="2:18" ht="15" customHeight="1" x14ac:dyDescent="0.3">
      <c r="B88" s="53">
        <v>3232</v>
      </c>
      <c r="C88" s="12" t="s">
        <v>53</v>
      </c>
      <c r="D88" s="6"/>
      <c r="E88" s="113">
        <f t="shared" si="14"/>
        <v>0</v>
      </c>
      <c r="F88" s="11"/>
      <c r="G88" s="113"/>
      <c r="H88" s="6">
        <v>5310</v>
      </c>
      <c r="I88" s="113"/>
      <c r="J88" s="6">
        <v>3980</v>
      </c>
      <c r="K88" s="113">
        <f>2792.02-120.79</f>
        <v>2671.23</v>
      </c>
      <c r="L88" s="6"/>
      <c r="M88" s="113"/>
      <c r="N88" s="6">
        <v>130</v>
      </c>
      <c r="O88" s="113">
        <v>120.79</v>
      </c>
      <c r="P88" s="11">
        <f t="shared" si="15"/>
        <v>9420</v>
      </c>
      <c r="Q88" s="129">
        <f>2140.9+3883.36-E54-E68</f>
        <v>2792.02</v>
      </c>
      <c r="R88" s="45">
        <f t="shared" si="13"/>
        <v>29.639278131634821</v>
      </c>
    </row>
    <row r="89" spans="2:18" ht="15" customHeight="1" x14ac:dyDescent="0.3">
      <c r="B89" s="53">
        <v>3233</v>
      </c>
      <c r="C89" s="12" t="s">
        <v>54</v>
      </c>
      <c r="D89" s="6"/>
      <c r="E89" s="113">
        <f t="shared" si="14"/>
        <v>0</v>
      </c>
      <c r="F89" s="11"/>
      <c r="G89" s="113"/>
      <c r="H89" s="6">
        <v>390</v>
      </c>
      <c r="I89" s="113"/>
      <c r="J89" s="6">
        <v>130</v>
      </c>
      <c r="K89" s="113"/>
      <c r="L89" s="6"/>
      <c r="M89" s="113"/>
      <c r="N89" s="6"/>
      <c r="O89" s="113"/>
      <c r="P89" s="11">
        <f t="shared" si="15"/>
        <v>520</v>
      </c>
      <c r="Q89" s="129"/>
      <c r="R89" s="45">
        <f t="shared" si="13"/>
        <v>0</v>
      </c>
    </row>
    <row r="90" spans="2:18" s="1" customFormat="1" ht="15" customHeight="1" x14ac:dyDescent="0.25">
      <c r="B90" s="53">
        <v>3234</v>
      </c>
      <c r="C90" s="13" t="s">
        <v>34</v>
      </c>
      <c r="D90" s="6"/>
      <c r="E90" s="113">
        <f t="shared" si="14"/>
        <v>0</v>
      </c>
      <c r="F90" s="11"/>
      <c r="G90" s="113"/>
      <c r="H90" s="6">
        <v>2650</v>
      </c>
      <c r="I90" s="113"/>
      <c r="J90" s="6">
        <v>130</v>
      </c>
      <c r="K90" s="113"/>
      <c r="L90" s="6"/>
      <c r="M90" s="113"/>
      <c r="N90" s="6"/>
      <c r="O90" s="113"/>
      <c r="P90" s="11">
        <f t="shared" si="15"/>
        <v>2780</v>
      </c>
      <c r="Q90" s="129">
        <f>3789.44+161.86+4634.75+174.3+945-E55-E69</f>
        <v>0</v>
      </c>
      <c r="R90" s="45">
        <f t="shared" si="13"/>
        <v>0</v>
      </c>
    </row>
    <row r="91" spans="2:18" ht="15" customHeight="1" x14ac:dyDescent="0.3">
      <c r="B91" s="53">
        <v>3236</v>
      </c>
      <c r="C91" s="13" t="s">
        <v>51</v>
      </c>
      <c r="D91" s="6"/>
      <c r="E91" s="113">
        <f t="shared" si="14"/>
        <v>0</v>
      </c>
      <c r="F91" s="11"/>
      <c r="G91" s="113"/>
      <c r="H91" s="6">
        <v>1600</v>
      </c>
      <c r="I91" s="113">
        <v>438.8</v>
      </c>
      <c r="J91" s="6">
        <v>270</v>
      </c>
      <c r="K91" s="113"/>
      <c r="L91" s="6"/>
      <c r="M91" s="113"/>
      <c r="N91" s="26"/>
      <c r="O91" s="114"/>
      <c r="P91" s="11">
        <f t="shared" si="15"/>
        <v>1870</v>
      </c>
      <c r="Q91" s="129">
        <f>438.8-E70</f>
        <v>438.8</v>
      </c>
      <c r="R91" s="45">
        <f t="shared" si="13"/>
        <v>23.46524064171123</v>
      </c>
    </row>
    <row r="92" spans="2:18" ht="15" customHeight="1" x14ac:dyDescent="0.3">
      <c r="B92" s="53">
        <v>3237</v>
      </c>
      <c r="C92" s="13" t="s">
        <v>43</v>
      </c>
      <c r="D92" s="6">
        <v>19240</v>
      </c>
      <c r="E92" s="113">
        <f t="shared" si="14"/>
        <v>10265.219999999999</v>
      </c>
      <c r="F92" s="11"/>
      <c r="G92" s="113"/>
      <c r="H92" s="6"/>
      <c r="I92" s="113"/>
      <c r="J92" s="6">
        <f>400+11550</f>
        <v>11950</v>
      </c>
      <c r="K92" s="113">
        <v>5111.1499999999996</v>
      </c>
      <c r="L92" s="6"/>
      <c r="M92" s="113"/>
      <c r="N92" s="26"/>
      <c r="O92" s="114"/>
      <c r="P92" s="11">
        <f t="shared" si="15"/>
        <v>31190</v>
      </c>
      <c r="Q92" s="129">
        <f>10188.92+1030.65+4156.8</f>
        <v>15376.369999999999</v>
      </c>
      <c r="R92" s="45">
        <f t="shared" si="13"/>
        <v>49.299038153254244</v>
      </c>
    </row>
    <row r="93" spans="2:18" s="14" customFormat="1" ht="15" customHeight="1" x14ac:dyDescent="0.3">
      <c r="B93" s="53">
        <v>3238</v>
      </c>
      <c r="C93" s="13" t="s">
        <v>36</v>
      </c>
      <c r="D93" s="6"/>
      <c r="E93" s="113">
        <f t="shared" si="14"/>
        <v>891.52</v>
      </c>
      <c r="F93" s="11"/>
      <c r="G93" s="113"/>
      <c r="H93" s="6">
        <v>2650</v>
      </c>
      <c r="I93" s="113">
        <v>1280.21</v>
      </c>
      <c r="J93" s="6"/>
      <c r="K93" s="113"/>
      <c r="L93" s="6"/>
      <c r="M93" s="113"/>
      <c r="N93" s="26"/>
      <c r="O93" s="114"/>
      <c r="P93" s="11">
        <f t="shared" si="15"/>
        <v>2650</v>
      </c>
      <c r="Q93" s="129">
        <f>2675.98-E57</f>
        <v>2171.73</v>
      </c>
      <c r="R93" s="45">
        <f t="shared" si="13"/>
        <v>81.952075471698123</v>
      </c>
    </row>
    <row r="94" spans="2:18" s="14" customFormat="1" ht="15" customHeight="1" x14ac:dyDescent="0.3">
      <c r="B94" s="53">
        <v>3239</v>
      </c>
      <c r="C94" s="13" t="s">
        <v>44</v>
      </c>
      <c r="D94" s="6">
        <v>1330</v>
      </c>
      <c r="E94" s="113">
        <f t="shared" si="14"/>
        <v>380.00000000000023</v>
      </c>
      <c r="F94" s="11"/>
      <c r="G94" s="113"/>
      <c r="H94" s="6">
        <v>2650</v>
      </c>
      <c r="I94" s="113">
        <v>835.75</v>
      </c>
      <c r="J94" s="6">
        <v>2520</v>
      </c>
      <c r="K94" s="113">
        <v>1583.66</v>
      </c>
      <c r="L94" s="6"/>
      <c r="M94" s="113"/>
      <c r="N94" s="26"/>
      <c r="O94" s="114"/>
      <c r="P94" s="11">
        <f t="shared" si="15"/>
        <v>6500</v>
      </c>
      <c r="Q94" s="129">
        <f>380+591.04+16.73+1096.41+26.6+688.63</f>
        <v>2799.4100000000003</v>
      </c>
      <c r="R94" s="45">
        <f t="shared" si="13"/>
        <v>43.067846153846155</v>
      </c>
    </row>
    <row r="95" spans="2:18" s="14" customFormat="1" ht="15" customHeight="1" x14ac:dyDescent="0.3">
      <c r="B95" s="53">
        <v>3241</v>
      </c>
      <c r="C95" s="13" t="s">
        <v>24</v>
      </c>
      <c r="D95" s="6">
        <v>14600</v>
      </c>
      <c r="E95" s="113">
        <f t="shared" si="14"/>
        <v>55616.71</v>
      </c>
      <c r="F95" s="11"/>
      <c r="G95" s="113"/>
      <c r="H95" s="6"/>
      <c r="I95" s="113"/>
      <c r="J95" s="6"/>
      <c r="K95" s="113"/>
      <c r="L95" s="6"/>
      <c r="M95" s="113"/>
      <c r="N95" s="26"/>
      <c r="O95" s="114"/>
      <c r="P95" s="11">
        <f t="shared" si="15"/>
        <v>14600</v>
      </c>
      <c r="Q95" s="129">
        <f>46638.99+201.81+6447.8+2328.11</f>
        <v>55616.71</v>
      </c>
      <c r="R95" s="45">
        <f t="shared" si="13"/>
        <v>380.93636986301374</v>
      </c>
    </row>
    <row r="96" spans="2:18" s="14" customFormat="1" ht="15" customHeight="1" x14ac:dyDescent="0.3">
      <c r="B96" s="53">
        <v>3292</v>
      </c>
      <c r="C96" s="13" t="s">
        <v>45</v>
      </c>
      <c r="D96" s="6">
        <v>1990</v>
      </c>
      <c r="E96" s="113">
        <f t="shared" si="14"/>
        <v>519.50000000000045</v>
      </c>
      <c r="F96" s="11"/>
      <c r="G96" s="113"/>
      <c r="H96" s="6">
        <v>3850</v>
      </c>
      <c r="I96" s="113">
        <v>1856.53</v>
      </c>
      <c r="J96" s="6">
        <v>4510</v>
      </c>
      <c r="K96" s="113">
        <v>2231.15</v>
      </c>
      <c r="L96" s="6"/>
      <c r="M96" s="113"/>
      <c r="N96" s="26"/>
      <c r="O96" s="114"/>
      <c r="P96" s="11">
        <f t="shared" si="15"/>
        <v>10350</v>
      </c>
      <c r="Q96" s="129">
        <f>1603.99+340.7+1071.5+1071.49+519.5</f>
        <v>4607.18</v>
      </c>
      <c r="R96" s="45">
        <f t="shared" si="13"/>
        <v>44.51381642512078</v>
      </c>
    </row>
    <row r="97" spans="2:18" s="14" customFormat="1" ht="15" customHeight="1" x14ac:dyDescent="0.3">
      <c r="B97" s="53">
        <v>3293</v>
      </c>
      <c r="C97" s="13" t="s">
        <v>46</v>
      </c>
      <c r="D97" s="6">
        <v>670</v>
      </c>
      <c r="E97" s="113">
        <f t="shared" si="14"/>
        <v>1394.8999999999996</v>
      </c>
      <c r="F97" s="11"/>
      <c r="G97" s="113"/>
      <c r="H97" s="6">
        <v>1330</v>
      </c>
      <c r="I97" s="113">
        <v>409.3</v>
      </c>
      <c r="J97" s="6">
        <f>1330+400</f>
        <v>1730</v>
      </c>
      <c r="K97" s="113">
        <v>1611.63</v>
      </c>
      <c r="L97" s="6"/>
      <c r="M97" s="113"/>
      <c r="N97" s="26"/>
      <c r="O97" s="114"/>
      <c r="P97" s="11">
        <f t="shared" si="15"/>
        <v>3730</v>
      </c>
      <c r="Q97" s="129">
        <v>3415.83</v>
      </c>
      <c r="R97" s="45">
        <f t="shared" si="13"/>
        <v>91.577211796246644</v>
      </c>
    </row>
    <row r="98" spans="2:18" s="14" customFormat="1" ht="15" customHeight="1" x14ac:dyDescent="0.3">
      <c r="B98" s="53">
        <v>3294</v>
      </c>
      <c r="C98" s="13" t="s">
        <v>55</v>
      </c>
      <c r="D98" s="6"/>
      <c r="E98" s="113">
        <f t="shared" si="14"/>
        <v>50</v>
      </c>
      <c r="F98" s="11"/>
      <c r="G98" s="113"/>
      <c r="H98" s="6">
        <v>130</v>
      </c>
      <c r="I98" s="113">
        <v>63.27</v>
      </c>
      <c r="J98" s="6">
        <v>660</v>
      </c>
      <c r="K98" s="113">
        <v>562.70000000000005</v>
      </c>
      <c r="L98" s="6"/>
      <c r="M98" s="113"/>
      <c r="N98" s="26"/>
      <c r="O98" s="114"/>
      <c r="P98" s="11">
        <f t="shared" si="15"/>
        <v>790</v>
      </c>
      <c r="Q98" s="129">
        <f>662.7+13.27</f>
        <v>675.97</v>
      </c>
      <c r="R98" s="45">
        <f t="shared" si="13"/>
        <v>85.565822784810138</v>
      </c>
    </row>
    <row r="99" spans="2:18" s="14" customFormat="1" ht="15" customHeight="1" x14ac:dyDescent="0.3">
      <c r="B99" s="53">
        <v>3295</v>
      </c>
      <c r="C99" s="13" t="s">
        <v>47</v>
      </c>
      <c r="D99" s="6">
        <v>2710</v>
      </c>
      <c r="E99" s="113">
        <f t="shared" si="14"/>
        <v>468.47999999999996</v>
      </c>
      <c r="F99" s="11"/>
      <c r="G99" s="113"/>
      <c r="H99" s="6">
        <v>400</v>
      </c>
      <c r="I99" s="113"/>
      <c r="J99" s="6">
        <v>530</v>
      </c>
      <c r="K99" s="113">
        <v>52.92</v>
      </c>
      <c r="L99" s="6"/>
      <c r="M99" s="113"/>
      <c r="N99" s="26"/>
      <c r="O99" s="114"/>
      <c r="P99" s="11">
        <f t="shared" si="15"/>
        <v>3640</v>
      </c>
      <c r="Q99" s="129">
        <f>53.08+52.92+26.54+388.86</f>
        <v>521.4</v>
      </c>
      <c r="R99" s="45">
        <f t="shared" si="13"/>
        <v>14.324175824175825</v>
      </c>
    </row>
    <row r="100" spans="2:18" s="14" customFormat="1" ht="15" customHeight="1" x14ac:dyDescent="0.3">
      <c r="B100" s="53">
        <v>3296</v>
      </c>
      <c r="C100" s="13" t="s">
        <v>48</v>
      </c>
      <c r="D100" s="6"/>
      <c r="E100" s="113">
        <f t="shared" si="14"/>
        <v>352.54</v>
      </c>
      <c r="F100" s="11"/>
      <c r="G100" s="113"/>
      <c r="H100" s="6"/>
      <c r="I100" s="113"/>
      <c r="J100" s="6"/>
      <c r="K100" s="113"/>
      <c r="L100" s="6"/>
      <c r="M100" s="113"/>
      <c r="N100" s="26"/>
      <c r="O100" s="114"/>
      <c r="P100" s="11">
        <f t="shared" si="15"/>
        <v>0</v>
      </c>
      <c r="Q100" s="129">
        <v>352.54</v>
      </c>
      <c r="R100" s="45" t="s">
        <v>21</v>
      </c>
    </row>
    <row r="101" spans="2:18" s="14" customFormat="1" ht="15" customHeight="1" x14ac:dyDescent="0.3">
      <c r="B101" s="53">
        <v>3299</v>
      </c>
      <c r="C101" s="13" t="s">
        <v>56</v>
      </c>
      <c r="D101" s="6">
        <v>1330</v>
      </c>
      <c r="E101" s="113">
        <f t="shared" si="14"/>
        <v>255.79999999999995</v>
      </c>
      <c r="F101" s="11"/>
      <c r="G101" s="113"/>
      <c r="H101" s="6">
        <v>1850</v>
      </c>
      <c r="I101" s="113">
        <v>448.63</v>
      </c>
      <c r="J101" s="6">
        <v>660</v>
      </c>
      <c r="K101" s="113">
        <v>654.09</v>
      </c>
      <c r="L101" s="6"/>
      <c r="M101" s="113"/>
      <c r="N101" s="26"/>
      <c r="O101" s="114"/>
      <c r="P101" s="11">
        <f t="shared" si="15"/>
        <v>3840</v>
      </c>
      <c r="Q101" s="129">
        <f>434.86+923.66</f>
        <v>1358.52</v>
      </c>
      <c r="R101" s="45">
        <f t="shared" si="13"/>
        <v>35.378124999999997</v>
      </c>
    </row>
    <row r="102" spans="2:18" ht="15" customHeight="1" x14ac:dyDescent="0.3">
      <c r="B102" s="53">
        <v>3431</v>
      </c>
      <c r="C102" s="27" t="s">
        <v>37</v>
      </c>
      <c r="D102" s="6"/>
      <c r="E102" s="113">
        <f t="shared" si="14"/>
        <v>430.24000000000012</v>
      </c>
      <c r="F102" s="11"/>
      <c r="G102" s="113"/>
      <c r="H102" s="6">
        <v>930</v>
      </c>
      <c r="I102" s="113">
        <v>352.35</v>
      </c>
      <c r="J102" s="6">
        <v>530</v>
      </c>
      <c r="K102" s="113">
        <v>141.26</v>
      </c>
      <c r="L102" s="6"/>
      <c r="M102" s="113"/>
      <c r="N102" s="26"/>
      <c r="O102" s="114"/>
      <c r="P102" s="11">
        <f t="shared" si="15"/>
        <v>1460</v>
      </c>
      <c r="Q102" s="129">
        <f>1170.89+21.95-E58</f>
        <v>923.85000000000014</v>
      </c>
      <c r="R102" s="45">
        <f t="shared" si="13"/>
        <v>63.277397260273979</v>
      </c>
    </row>
    <row r="103" spans="2:18" ht="15" customHeight="1" x14ac:dyDescent="0.3">
      <c r="B103" s="53">
        <v>3433</v>
      </c>
      <c r="C103" s="13" t="s">
        <v>49</v>
      </c>
      <c r="D103" s="6"/>
      <c r="E103" s="113">
        <f t="shared" si="14"/>
        <v>244.25</v>
      </c>
      <c r="F103" s="11"/>
      <c r="G103" s="113"/>
      <c r="H103" s="6"/>
      <c r="I103" s="113"/>
      <c r="J103" s="6"/>
      <c r="K103" s="113"/>
      <c r="L103" s="6"/>
      <c r="M103" s="113"/>
      <c r="N103" s="26"/>
      <c r="O103" s="114"/>
      <c r="P103" s="11">
        <f t="shared" si="15"/>
        <v>0</v>
      </c>
      <c r="Q103" s="129">
        <f>0.81+80.18+5.82+157.44</f>
        <v>244.25</v>
      </c>
      <c r="R103" s="45" t="s">
        <v>21</v>
      </c>
    </row>
    <row r="104" spans="2:18" ht="15" customHeight="1" x14ac:dyDescent="0.3">
      <c r="B104" s="53">
        <v>3812</v>
      </c>
      <c r="C104" s="13" t="s">
        <v>93</v>
      </c>
      <c r="D104" s="6"/>
      <c r="E104" s="113">
        <f t="shared" si="14"/>
        <v>1035.6699999999998</v>
      </c>
      <c r="F104" s="11"/>
      <c r="G104" s="113"/>
      <c r="H104" s="6"/>
      <c r="I104" s="113"/>
      <c r="J104" s="6"/>
      <c r="K104" s="113">
        <v>8.4499999999999993</v>
      </c>
      <c r="L104" s="6"/>
      <c r="M104" s="113"/>
      <c r="N104" s="26"/>
      <c r="O104" s="114"/>
      <c r="P104" s="11"/>
      <c r="Q104" s="129">
        <v>1044.1199999999999</v>
      </c>
      <c r="R104" s="45" t="s">
        <v>21</v>
      </c>
    </row>
    <row r="105" spans="2:18" ht="15" customHeight="1" x14ac:dyDescent="0.3">
      <c r="B105" s="54">
        <v>4</v>
      </c>
      <c r="C105" s="41" t="s">
        <v>65</v>
      </c>
      <c r="D105" s="6"/>
      <c r="E105" s="113">
        <f t="shared" si="14"/>
        <v>0</v>
      </c>
      <c r="F105" s="11"/>
      <c r="G105" s="113"/>
      <c r="H105" s="6"/>
      <c r="I105" s="113"/>
      <c r="J105" s="6"/>
      <c r="K105" s="113"/>
      <c r="L105" s="6"/>
      <c r="M105" s="113"/>
      <c r="N105" s="26"/>
      <c r="O105" s="114"/>
      <c r="P105" s="11">
        <f t="shared" si="15"/>
        <v>0</v>
      </c>
      <c r="Q105" s="129"/>
      <c r="R105" s="45"/>
    </row>
    <row r="106" spans="2:18" ht="15" customHeight="1" x14ac:dyDescent="0.3">
      <c r="B106" s="53">
        <v>4123</v>
      </c>
      <c r="C106" s="13" t="s">
        <v>59</v>
      </c>
      <c r="D106" s="6"/>
      <c r="E106" s="113">
        <f t="shared" si="14"/>
        <v>228</v>
      </c>
      <c r="F106" s="11"/>
      <c r="G106" s="113"/>
      <c r="H106" s="6"/>
      <c r="I106" s="113"/>
      <c r="J106" s="6"/>
      <c r="K106" s="113">
        <v>110.06</v>
      </c>
      <c r="L106" s="6"/>
      <c r="M106" s="113"/>
      <c r="N106" s="26"/>
      <c r="O106" s="114"/>
      <c r="P106" s="11">
        <f t="shared" si="15"/>
        <v>0</v>
      </c>
      <c r="Q106" s="129">
        <v>338.06</v>
      </c>
      <c r="R106" s="45" t="s">
        <v>21</v>
      </c>
    </row>
    <row r="107" spans="2:18" ht="15" customHeight="1" x14ac:dyDescent="0.3">
      <c r="B107" s="53">
        <v>4214</v>
      </c>
      <c r="C107" s="13" t="s">
        <v>50</v>
      </c>
      <c r="D107" s="6">
        <v>67091</v>
      </c>
      <c r="E107" s="113">
        <f t="shared" si="14"/>
        <v>43444.76</v>
      </c>
      <c r="F107" s="11"/>
      <c r="G107" s="113"/>
      <c r="H107" s="6"/>
      <c r="I107" s="113"/>
      <c r="J107" s="6"/>
      <c r="K107" s="113"/>
      <c r="L107" s="6"/>
      <c r="M107" s="113"/>
      <c r="N107" s="26"/>
      <c r="O107" s="114"/>
      <c r="P107" s="11">
        <f t="shared" si="15"/>
        <v>67091</v>
      </c>
      <c r="Q107" s="129">
        <v>43444.76</v>
      </c>
      <c r="R107" s="45">
        <f t="shared" ref="R107:R111" si="16">Q107/P107*100</f>
        <v>64.75497458675531</v>
      </c>
    </row>
    <row r="108" spans="2:18" ht="15" customHeight="1" x14ac:dyDescent="0.3">
      <c r="B108" s="53">
        <v>4227</v>
      </c>
      <c r="C108" s="13" t="s">
        <v>38</v>
      </c>
      <c r="D108" s="6">
        <v>5310</v>
      </c>
      <c r="E108" s="113">
        <f t="shared" si="14"/>
        <v>471.41</v>
      </c>
      <c r="F108" s="11"/>
      <c r="G108" s="113"/>
      <c r="H108" s="6">
        <v>26540</v>
      </c>
      <c r="I108" s="113">
        <v>172.31</v>
      </c>
      <c r="J108" s="6">
        <v>1000</v>
      </c>
      <c r="K108" s="113"/>
      <c r="L108" s="6"/>
      <c r="M108" s="113"/>
      <c r="N108" s="26"/>
      <c r="O108" s="114"/>
      <c r="P108" s="11">
        <f t="shared" si="15"/>
        <v>32850</v>
      </c>
      <c r="Q108" s="129">
        <v>643.72</v>
      </c>
      <c r="R108" s="45">
        <f t="shared" si="16"/>
        <v>1.9595738203957385</v>
      </c>
    </row>
    <row r="109" spans="2:18" ht="15" customHeight="1" x14ac:dyDescent="0.3">
      <c r="B109" s="53">
        <v>4262</v>
      </c>
      <c r="C109" s="13" t="s">
        <v>57</v>
      </c>
      <c r="D109" s="6"/>
      <c r="E109" s="113">
        <f t="shared" si="14"/>
        <v>0</v>
      </c>
      <c r="F109" s="11"/>
      <c r="G109" s="113"/>
      <c r="H109" s="6">
        <v>260</v>
      </c>
      <c r="I109" s="113">
        <v>466.88</v>
      </c>
      <c r="J109" s="6"/>
      <c r="K109" s="113">
        <v>466.87</v>
      </c>
      <c r="L109" s="6"/>
      <c r="M109" s="113"/>
      <c r="N109" s="26"/>
      <c r="O109" s="114"/>
      <c r="P109" s="11">
        <f t="shared" ref="P109" si="17">D109+F109+H109+J109+L109+N109</f>
        <v>260</v>
      </c>
      <c r="Q109" s="129">
        <v>933.75</v>
      </c>
      <c r="R109" s="45">
        <f t="shared" ref="R109" si="18">Q109/P109*100</f>
        <v>359.13461538461536</v>
      </c>
    </row>
    <row r="110" spans="2:18" ht="15" customHeight="1" x14ac:dyDescent="0.3">
      <c r="B110" s="53">
        <v>4511</v>
      </c>
      <c r="C110" s="13" t="s">
        <v>105</v>
      </c>
      <c r="D110" s="6">
        <v>18625</v>
      </c>
      <c r="E110" s="113">
        <f t="shared" si="14"/>
        <v>0</v>
      </c>
      <c r="F110" s="11"/>
      <c r="G110" s="113"/>
      <c r="H110" s="6"/>
      <c r="I110" s="113"/>
      <c r="J110" s="6"/>
      <c r="K110" s="113"/>
      <c r="L110" s="6"/>
      <c r="M110" s="113"/>
      <c r="N110" s="26"/>
      <c r="O110" s="114"/>
      <c r="P110" s="11">
        <f t="shared" si="15"/>
        <v>18625</v>
      </c>
      <c r="Q110" s="129"/>
      <c r="R110" s="45">
        <f t="shared" si="16"/>
        <v>0</v>
      </c>
    </row>
    <row r="111" spans="2:18" ht="15" customHeight="1" thickBot="1" x14ac:dyDescent="0.35">
      <c r="B111" s="55"/>
      <c r="C111" s="56" t="s">
        <v>16</v>
      </c>
      <c r="D111" s="57">
        <f t="shared" ref="D111:Q111" si="19">SUM(D75:D110)</f>
        <v>2921666</v>
      </c>
      <c r="E111" s="125">
        <f t="shared" si="19"/>
        <v>1471746.0299999998</v>
      </c>
      <c r="F111" s="57">
        <f t="shared" si="19"/>
        <v>13010</v>
      </c>
      <c r="G111" s="125">
        <f t="shared" si="19"/>
        <v>7930.52</v>
      </c>
      <c r="H111" s="57">
        <f t="shared" si="19"/>
        <v>158966</v>
      </c>
      <c r="I111" s="125">
        <f t="shared" si="19"/>
        <v>35171.119999999988</v>
      </c>
      <c r="J111" s="57">
        <f t="shared" si="19"/>
        <v>84950</v>
      </c>
      <c r="K111" s="125">
        <f t="shared" si="19"/>
        <v>47731.86</v>
      </c>
      <c r="L111" s="57">
        <f t="shared" si="19"/>
        <v>0</v>
      </c>
      <c r="M111" s="125">
        <f t="shared" si="19"/>
        <v>0</v>
      </c>
      <c r="N111" s="57">
        <f t="shared" si="19"/>
        <v>260</v>
      </c>
      <c r="O111" s="125">
        <f t="shared" si="19"/>
        <v>241.59</v>
      </c>
      <c r="P111" s="57">
        <f t="shared" si="19"/>
        <v>3178852</v>
      </c>
      <c r="Q111" s="125">
        <f t="shared" si="19"/>
        <v>1562821.1200000003</v>
      </c>
      <c r="R111" s="58">
        <f t="shared" si="16"/>
        <v>49.163066415171272</v>
      </c>
    </row>
    <row r="112" spans="2:18" ht="15" customHeight="1" thickBot="1" x14ac:dyDescent="0.35">
      <c r="B112" s="68"/>
      <c r="C112" s="69"/>
      <c r="D112" s="70"/>
      <c r="E112" s="126"/>
      <c r="F112" s="70"/>
      <c r="G112" s="126"/>
      <c r="H112" s="70"/>
      <c r="I112" s="126"/>
      <c r="J112" s="70"/>
      <c r="K112" s="126"/>
      <c r="L112" s="70"/>
      <c r="M112" s="126"/>
      <c r="N112" s="70"/>
      <c r="O112" s="126"/>
      <c r="P112" s="70"/>
      <c r="Q112" s="126"/>
      <c r="R112" s="71"/>
    </row>
    <row r="113" spans="2:20" ht="15" customHeight="1" thickBot="1" x14ac:dyDescent="0.35">
      <c r="B113" s="72"/>
      <c r="C113" s="73" t="s">
        <v>67</v>
      </c>
      <c r="D113" s="74">
        <f t="shared" ref="D113:Q113" si="20">SUM(D59+D71+D111)</f>
        <v>3210313</v>
      </c>
      <c r="E113" s="127">
        <f t="shared" si="20"/>
        <v>1667188.3399999999</v>
      </c>
      <c r="F113" s="74">
        <f t="shared" si="20"/>
        <v>13010</v>
      </c>
      <c r="G113" s="127">
        <f t="shared" si="20"/>
        <v>7930.52</v>
      </c>
      <c r="H113" s="74">
        <f t="shared" si="20"/>
        <v>158966</v>
      </c>
      <c r="I113" s="127">
        <f t="shared" si="20"/>
        <v>35171.119999999988</v>
      </c>
      <c r="J113" s="74">
        <f t="shared" si="20"/>
        <v>84950</v>
      </c>
      <c r="K113" s="127">
        <f t="shared" si="20"/>
        <v>47731.86</v>
      </c>
      <c r="L113" s="74">
        <f t="shared" si="20"/>
        <v>0</v>
      </c>
      <c r="M113" s="127">
        <f t="shared" si="20"/>
        <v>0</v>
      </c>
      <c r="N113" s="74">
        <f t="shared" si="20"/>
        <v>260</v>
      </c>
      <c r="O113" s="127">
        <f t="shared" si="20"/>
        <v>241.59</v>
      </c>
      <c r="P113" s="74">
        <f t="shared" si="20"/>
        <v>3467499</v>
      </c>
      <c r="Q113" s="127">
        <f t="shared" si="20"/>
        <v>1758263.4300000004</v>
      </c>
      <c r="R113" s="75"/>
      <c r="T113" s="9"/>
    </row>
    <row r="114" spans="2:20" ht="15" customHeight="1" thickBot="1" x14ac:dyDescent="0.35">
      <c r="B114" s="15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9"/>
    </row>
    <row r="115" spans="2:20" ht="15" customHeight="1" x14ac:dyDescent="0.3">
      <c r="B115" s="20"/>
      <c r="C115" s="21"/>
      <c r="D115" s="22"/>
      <c r="E115" s="22"/>
      <c r="F115" s="22"/>
      <c r="G115" s="22"/>
      <c r="H115" s="22"/>
      <c r="I115" s="22"/>
      <c r="J115" s="161" t="s">
        <v>91</v>
      </c>
      <c r="K115" s="162"/>
      <c r="L115" s="163"/>
      <c r="M115" s="163"/>
      <c r="N115" s="163"/>
      <c r="O115" s="163"/>
      <c r="P115" s="163"/>
      <c r="Q115" s="59">
        <f>Q42-Q113</f>
        <v>-74743.860000000102</v>
      </c>
      <c r="R115" s="19"/>
    </row>
    <row r="116" spans="2:20" ht="15" customHeight="1" x14ac:dyDescent="0.3">
      <c r="B116" s="20"/>
      <c r="C116" s="21"/>
      <c r="D116" s="22"/>
      <c r="E116" s="22"/>
      <c r="F116" s="22"/>
      <c r="G116" s="22"/>
      <c r="H116" s="22"/>
      <c r="I116" s="22"/>
      <c r="J116" s="164" t="s">
        <v>19</v>
      </c>
      <c r="K116" s="165"/>
      <c r="L116" s="166"/>
      <c r="M116" s="166"/>
      <c r="N116" s="166"/>
      <c r="O116" s="166"/>
      <c r="P116" s="166"/>
      <c r="Q116" s="60">
        <v>260716.26</v>
      </c>
      <c r="R116" s="19"/>
    </row>
    <row r="117" spans="2:20" ht="15" customHeight="1" thickBot="1" x14ac:dyDescent="0.35">
      <c r="B117" s="23"/>
      <c r="C117" s="23"/>
      <c r="D117" s="23"/>
      <c r="E117" s="23"/>
      <c r="F117" s="23"/>
      <c r="G117" s="23"/>
      <c r="H117" s="23"/>
      <c r="I117" s="23"/>
      <c r="J117" s="167" t="s">
        <v>92</v>
      </c>
      <c r="K117" s="168"/>
      <c r="L117" s="168"/>
      <c r="M117" s="168"/>
      <c r="N117" s="168"/>
      <c r="O117" s="168"/>
      <c r="P117" s="169"/>
      <c r="Q117" s="61">
        <f>Q115+Q116</f>
        <v>185972.39999999991</v>
      </c>
      <c r="R117" s="24"/>
    </row>
    <row r="118" spans="2:20" ht="15" customHeight="1" x14ac:dyDescent="0.3">
      <c r="B118" s="23"/>
      <c r="C118" s="23"/>
      <c r="D118" s="23"/>
      <c r="E118" s="23"/>
      <c r="F118" s="23"/>
      <c r="G118" s="23"/>
      <c r="H118" s="23"/>
      <c r="I118" s="23"/>
      <c r="J118" s="146"/>
      <c r="K118" s="146"/>
      <c r="L118" s="146"/>
      <c r="M118" s="146"/>
      <c r="N118" s="146"/>
      <c r="O118" s="146"/>
      <c r="P118" s="146"/>
      <c r="Q118" s="18"/>
      <c r="R118" s="24"/>
    </row>
    <row r="119" spans="2:20" ht="15" customHeight="1" x14ac:dyDescent="0.3"/>
    <row r="120" spans="2:20" s="150" customFormat="1" ht="16.5" customHeight="1" x14ac:dyDescent="0.3">
      <c r="B120" s="76" t="s">
        <v>20</v>
      </c>
      <c r="C120" s="76"/>
      <c r="D120" s="76"/>
      <c r="E120" s="76"/>
      <c r="F120" s="76"/>
      <c r="G120" s="76"/>
      <c r="P120" s="151"/>
    </row>
    <row r="121" spans="2:20" s="150" customFormat="1" ht="16.5" customHeight="1" x14ac:dyDescent="0.25"/>
    <row r="122" spans="2:20" s="150" customFormat="1" ht="16.5" customHeight="1" x14ac:dyDescent="0.25">
      <c r="B122" s="159" t="s">
        <v>84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20" s="150" customFormat="1" ht="16.5" customHeight="1" x14ac:dyDescent="0.25">
      <c r="B123" s="154" t="s">
        <v>108</v>
      </c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</row>
    <row r="124" spans="2:20" s="150" customFormat="1" ht="16.5" customHeight="1" x14ac:dyDescent="0.25">
      <c r="B124" s="159" t="s">
        <v>110</v>
      </c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20" s="150" customFormat="1" ht="16.5" customHeight="1" x14ac:dyDescent="0.25">
      <c r="B125" s="159" t="s">
        <v>109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20" s="150" customFormat="1" ht="16.5" customHeight="1" x14ac:dyDescent="0.25">
      <c r="B126" s="147"/>
    </row>
    <row r="127" spans="2:20" s="150" customFormat="1" ht="16.5" customHeight="1" x14ac:dyDescent="0.25">
      <c r="B127" s="148" t="s">
        <v>94</v>
      </c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2:20" s="150" customFormat="1" ht="16.5" customHeight="1" x14ac:dyDescent="0.25">
      <c r="B128" s="148"/>
      <c r="C128" s="149" t="s">
        <v>95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</row>
    <row r="129" spans="2:18" s="150" customFormat="1" ht="16.5" customHeight="1" x14ac:dyDescent="0.25">
      <c r="B129" s="148"/>
      <c r="C129" s="149" t="s">
        <v>96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</row>
    <row r="130" spans="2:18" s="150" customFormat="1" ht="16.5" customHeight="1" x14ac:dyDescent="0.25">
      <c r="B130" s="148"/>
      <c r="C130" s="149" t="s">
        <v>97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</row>
    <row r="131" spans="2:18" s="150" customFormat="1" ht="16.5" customHeight="1" x14ac:dyDescent="0.25">
      <c r="B131" s="148"/>
      <c r="C131" s="149" t="s">
        <v>98</v>
      </c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</row>
    <row r="132" spans="2:18" s="150" customFormat="1" ht="16.5" customHeight="1" x14ac:dyDescent="0.25">
      <c r="B132" s="148"/>
      <c r="C132" s="149" t="s">
        <v>99</v>
      </c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</row>
    <row r="133" spans="2:18" s="150" customFormat="1" ht="16.5" customHeight="1" x14ac:dyDescent="0.25">
      <c r="B133" s="148"/>
      <c r="C133" s="149" t="s">
        <v>100</v>
      </c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</row>
    <row r="134" spans="2:18" s="150" customFormat="1" ht="16.5" customHeight="1" x14ac:dyDescent="0.25">
      <c r="B134" s="148"/>
      <c r="C134" s="149" t="s">
        <v>101</v>
      </c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</row>
    <row r="135" spans="2:18" s="150" customFormat="1" ht="16.5" customHeight="1" x14ac:dyDescent="0.25">
      <c r="B135" s="148"/>
      <c r="C135" s="149" t="s">
        <v>102</v>
      </c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</row>
    <row r="136" spans="2:18" s="149" customFormat="1" ht="16.5" customHeight="1" x14ac:dyDescent="0.25">
      <c r="B136" s="148"/>
      <c r="C136" s="149" t="s">
        <v>103</v>
      </c>
    </row>
    <row r="137" spans="2:18" s="150" customFormat="1" ht="16.5" customHeight="1" x14ac:dyDescent="0.25"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</row>
    <row r="138" spans="2:18" s="150" customFormat="1" ht="16.5" customHeight="1" x14ac:dyDescent="0.25">
      <c r="B138" s="147" t="s">
        <v>79</v>
      </c>
    </row>
    <row r="139" spans="2:18" s="150" customFormat="1" ht="16.5" customHeight="1" x14ac:dyDescent="0.25">
      <c r="B139" s="147"/>
      <c r="C139" s="149" t="s">
        <v>106</v>
      </c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</row>
    <row r="140" spans="2:18" s="150" customFormat="1" ht="16.5" customHeight="1" x14ac:dyDescent="0.25">
      <c r="B140" s="147"/>
      <c r="C140" s="149" t="s">
        <v>80</v>
      </c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</row>
    <row r="141" spans="2:18" s="150" customFormat="1" ht="16.5" customHeight="1" x14ac:dyDescent="0.25">
      <c r="B141" s="147"/>
      <c r="C141" s="149" t="s">
        <v>104</v>
      </c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</row>
    <row r="142" spans="2:18" s="150" customFormat="1" ht="16.5" customHeight="1" x14ac:dyDescent="0.25">
      <c r="B142" s="147"/>
      <c r="C142" s="149" t="s">
        <v>114</v>
      </c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</row>
    <row r="143" spans="2:18" s="150" customFormat="1" ht="16.5" customHeight="1" x14ac:dyDescent="0.25">
      <c r="B143" s="147"/>
      <c r="C143" s="149" t="s">
        <v>113</v>
      </c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</row>
    <row r="144" spans="2:18" s="150" customFormat="1" ht="16.5" customHeight="1" x14ac:dyDescent="0.25">
      <c r="B144" s="147"/>
      <c r="C144" s="149" t="s">
        <v>116</v>
      </c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</row>
    <row r="145" spans="2:19" s="150" customFormat="1" ht="16.5" customHeight="1" x14ac:dyDescent="0.25">
      <c r="B145" s="147"/>
      <c r="C145" s="149" t="s">
        <v>115</v>
      </c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</row>
    <row r="146" spans="2:19" s="150" customFormat="1" ht="16.5" customHeight="1" x14ac:dyDescent="0.25">
      <c r="B146" s="147"/>
      <c r="C146" s="149" t="s">
        <v>107</v>
      </c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</row>
    <row r="147" spans="2:19" s="150" customFormat="1" ht="16.5" customHeight="1" x14ac:dyDescent="0.25"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</row>
    <row r="148" spans="2:19" s="150" customFormat="1" ht="16.5" customHeight="1" x14ac:dyDescent="0.25">
      <c r="B148" s="159" t="s">
        <v>112</v>
      </c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9" s="150" customFormat="1" ht="16.5" customHeight="1" x14ac:dyDescent="0.25">
      <c r="B149" s="159" t="s">
        <v>111</v>
      </c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9" s="150" customFormat="1" ht="16.5" customHeight="1" x14ac:dyDescent="0.25"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</row>
    <row r="151" spans="2:19" s="150" customFormat="1" ht="16.5" customHeight="1" x14ac:dyDescent="0.25"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</row>
    <row r="152" spans="2:19" s="150" customFormat="1" ht="16.5" customHeight="1" x14ac:dyDescent="0.25"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 t="s">
        <v>22</v>
      </c>
      <c r="O152" s="149"/>
      <c r="P152" s="149"/>
      <c r="Q152" s="149"/>
      <c r="R152" s="149"/>
    </row>
    <row r="153" spans="2:19" s="150" customFormat="1" ht="16.5" customHeight="1" x14ac:dyDescent="0.25"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 t="s">
        <v>23</v>
      </c>
      <c r="O153" s="149"/>
      <c r="P153" s="149"/>
      <c r="Q153" s="149"/>
      <c r="R153" s="149"/>
    </row>
    <row r="154" spans="2:19" s="78" customFormat="1" ht="15.9" customHeight="1" x14ac:dyDescent="0.25">
      <c r="B154" s="79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79"/>
    </row>
    <row r="155" spans="2:19" s="78" customFormat="1" ht="15.9" customHeight="1" x14ac:dyDescent="0.25"/>
    <row r="156" spans="2:19" ht="15" customHeight="1" x14ac:dyDescent="0.3"/>
    <row r="157" spans="2:19" ht="15" customHeight="1" x14ac:dyDescent="0.3"/>
    <row r="158" spans="2:19" ht="15" customHeight="1" x14ac:dyDescent="0.3"/>
    <row r="159" spans="2:19" ht="15" customHeight="1" x14ac:dyDescent="0.3"/>
    <row r="160" spans="2:19" ht="15" customHeight="1" x14ac:dyDescent="0.3"/>
    <row r="161" ht="15" customHeight="1" x14ac:dyDescent="0.3"/>
    <row r="162" ht="15" customHeight="1" x14ac:dyDescent="0.3"/>
  </sheetData>
  <mergeCells count="24">
    <mergeCell ref="B9:R9"/>
    <mergeCell ref="J115:P115"/>
    <mergeCell ref="J116:P116"/>
    <mergeCell ref="F27:G27"/>
    <mergeCell ref="J117:P117"/>
    <mergeCell ref="Q27:Q28"/>
    <mergeCell ref="R27:R28"/>
    <mergeCell ref="B46:R46"/>
    <mergeCell ref="B61:R61"/>
    <mergeCell ref="B73:R73"/>
    <mergeCell ref="B72:R72"/>
    <mergeCell ref="B60:R60"/>
    <mergeCell ref="B45:R45"/>
    <mergeCell ref="D27:E27"/>
    <mergeCell ref="H27:I27"/>
    <mergeCell ref="J27:K27"/>
    <mergeCell ref="L27:M27"/>
    <mergeCell ref="N27:O27"/>
    <mergeCell ref="P27:P28"/>
    <mergeCell ref="B148:R148"/>
    <mergeCell ref="B149:R149"/>
    <mergeCell ref="B122:R122"/>
    <mergeCell ref="B124:R124"/>
    <mergeCell ref="B125:R12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4" sqref="B4"/>
    </sheetView>
  </sheetViews>
  <sheetFormatPr defaultRowHeight="14.4" x14ac:dyDescent="0.3"/>
  <cols>
    <col min="2" max="2" width="14.5546875" customWidth="1"/>
  </cols>
  <sheetData>
    <row r="3" spans="2:2" x14ac:dyDescent="0.3">
      <c r="B3" s="97">
        <f>1723393.32+567944+652993</f>
        <v>2944330.3200000003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SŠ Bedekovčina</cp:lastModifiedBy>
  <cp:lastPrinted>2023-07-13T05:56:57Z</cp:lastPrinted>
  <dcterms:created xsi:type="dcterms:W3CDTF">2022-01-28T07:37:17Z</dcterms:created>
  <dcterms:modified xsi:type="dcterms:W3CDTF">2023-07-20T10:54:46Z</dcterms:modified>
</cp:coreProperties>
</file>